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40" yWindow="240" windowWidth="19392" windowHeight="6972" activeTab="0"/>
  </bookViews>
  <sheets>
    <sheet name="HP用" sheetId="1" r:id="rId1"/>
    <sheet name="軽減判定" sheetId="2" state="hidden" r:id="rId2"/>
    <sheet name="加入者(1)" sheetId="3" state="hidden" r:id="rId3"/>
    <sheet name="計算シート１" sheetId="4" state="hidden" r:id="rId4"/>
    <sheet name="計算シート２" sheetId="5" state="hidden" r:id="rId5"/>
    <sheet name="加入者(2)" sheetId="6" state="hidden" r:id="rId6"/>
    <sheet name="計算シート12" sheetId="7" state="hidden" r:id="rId7"/>
    <sheet name="計算シート22" sheetId="8" state="hidden" r:id="rId8"/>
    <sheet name="加入者(3)" sheetId="9" state="hidden" r:id="rId9"/>
    <sheet name="計算シート13" sheetId="10" state="hidden" r:id="rId10"/>
    <sheet name="計算シート23" sheetId="11" state="hidden" r:id="rId11"/>
    <sheet name="加入者(4)" sheetId="12" state="hidden" r:id="rId12"/>
    <sheet name="計算シート14" sheetId="13" state="hidden" r:id="rId13"/>
    <sheet name="計算シート24" sheetId="14" state="hidden" r:id="rId14"/>
    <sheet name="加入者(5)" sheetId="15" state="hidden" r:id="rId15"/>
    <sheet name="計算シート15" sheetId="16" state="hidden" r:id="rId16"/>
    <sheet name="計算シート25" sheetId="17" state="hidden" r:id="rId17"/>
    <sheet name="加入者(6)" sheetId="18" state="hidden" r:id="rId18"/>
    <sheet name="計算シート16" sheetId="19" state="hidden" r:id="rId19"/>
    <sheet name="計算シート26" sheetId="20" state="hidden" r:id="rId20"/>
    <sheet name="加入者(7)" sheetId="21" state="hidden" r:id="rId21"/>
    <sheet name="計算シート17" sheetId="22" state="hidden" r:id="rId22"/>
    <sheet name="計算シート27" sheetId="23" state="hidden" r:id="rId23"/>
  </sheets>
  <definedNames>
    <definedName name="_xlfn.IFERROR" hidden="1">#NAME?</definedName>
    <definedName name="_xlnm.Print_Area" localSheetId="0">'HP用'!$A$1:$I$50</definedName>
    <definedName name="_xlnm.Print_Area" localSheetId="3">'計算シート１'!$A$1:$R$48</definedName>
    <definedName name="_xlnm.Print_Area" localSheetId="6">'計算シート12'!$A$1:$R$48</definedName>
    <definedName name="_xlnm.Print_Area" localSheetId="9">'計算シート13'!$A$1:$R$48</definedName>
    <definedName name="_xlnm.Print_Area" localSheetId="12">'計算シート14'!$A$1:$R$48</definedName>
    <definedName name="_xlnm.Print_Area" localSheetId="15">'計算シート15'!$A$1:$R$48</definedName>
    <definedName name="_xlnm.Print_Area" localSheetId="18">'計算シート16'!$A$1:$R$48</definedName>
    <definedName name="_xlnm.Print_Area" localSheetId="21">'計算シート17'!$A$1:$R$48</definedName>
  </definedNames>
  <calcPr fullCalcOnLoad="1"/>
</workbook>
</file>

<file path=xl/comments1.xml><?xml version="1.0" encoding="utf-8"?>
<comments xmlns="http://schemas.openxmlformats.org/spreadsheetml/2006/main">
  <authors>
    <author>ageo</author>
  </authors>
  <commentList>
    <comment ref="D18" authorId="0">
      <text>
        <r>
          <rPr>
            <sz val="14"/>
            <rFont val="ＭＳ Ｐゴシック"/>
            <family val="3"/>
          </rPr>
          <t>①加入される方の年齢区分を選択してください。</t>
        </r>
      </text>
    </comment>
  </commentList>
</comments>
</file>

<file path=xl/sharedStrings.xml><?xml version="1.0" encoding="utf-8"?>
<sst xmlns="http://schemas.openxmlformats.org/spreadsheetml/2006/main" count="1554" uniqueCount="260">
  <si>
    <t>円</t>
  </si>
  <si>
    <t>所得割</t>
  </si>
  <si>
    <t>均等割</t>
  </si>
  <si>
    <t>課税額</t>
  </si>
  <si>
    <t>その他所得</t>
  </si>
  <si>
    <t>加入者（１）</t>
  </si>
  <si>
    <t>加入者（２）</t>
  </si>
  <si>
    <t>加入者（３）</t>
  </si>
  <si>
    <t>加入者（４）</t>
  </si>
  <si>
    <t>加入者（５）</t>
  </si>
  <si>
    <t>加入者（６）</t>
  </si>
  <si>
    <t>加入者（７）</t>
  </si>
  <si>
    <t>●試算シートの使い方</t>
  </si>
  <si>
    <t>基礎課税額</t>
  </si>
  <si>
    <t>後期高齢者支援金</t>
  </si>
  <si>
    <t>介護納付金
（４０歳から６４歳まで）</t>
  </si>
  <si>
    <t>【注意事項】</t>
  </si>
  <si>
    <t>上記結果はあくまで試算であり、実際の税額とは異なる場合があります。</t>
  </si>
  <si>
    <t>〇70歳から74歳までの方、負担割合が現在加入中の社会保険と国保で異なる場合があります。</t>
  </si>
  <si>
    <t>参考）
１か月当たり</t>
  </si>
  <si>
    <t>上尾市国民健康保険税のおおよその年税額と１か月あたりの税額を知ることが出来ます。</t>
  </si>
  <si>
    <t>その他上記以外でも国保税が軽減される場合がありますので、詳しくは保険年金課までお問い合わせください。</t>
  </si>
  <si>
    <t>上尾市役所　保険年金課　国保資格・課税担当</t>
  </si>
  <si>
    <t>℡　０４８－７８２－６４７１（直通）</t>
  </si>
  <si>
    <t>４０～６４歳</t>
  </si>
  <si>
    <t>６５歳～</t>
  </si>
  <si>
    <t>～３９歳</t>
  </si>
  <si>
    <t xml:space="preserve">   問い合わせ先</t>
  </si>
  <si>
    <t>人数確認</t>
  </si>
  <si>
    <t>年金（64以下）</t>
  </si>
  <si>
    <t>給与（30/100）</t>
  </si>
  <si>
    <t>合計所得</t>
  </si>
  <si>
    <t>よくわからん</t>
  </si>
  <si>
    <t>合計</t>
  </si>
  <si>
    <t>所得金額調整控除額（１）、（２）算出表</t>
  </si>
  <si>
    <t>年間給与収入</t>
  </si>
  <si>
    <t>公的年金等の収入</t>
  </si>
  <si>
    <t>年齢（翌年１月１日現在）</t>
  </si>
  <si>
    <t>65歳以上</t>
  </si>
  <si>
    <t>公的年金等に係る雑所得以外の
所得に係る合計所得金額</t>
  </si>
  <si>
    <t>1,000万円以下</t>
  </si>
  <si>
    <t>※公的年金等に、障害年金、遺族年金は含みません。</t>
  </si>
  <si>
    <t>所得金額調整控除額（１）</t>
  </si>
  <si>
    <t>３．所得金額調整控除額（２．年金等）</t>
  </si>
  <si>
    <t>給与所得の金額</t>
  </si>
  <si>
    <t>公的年金等に係る雑所得の金額</t>
  </si>
  <si>
    <t>所得金額調整控除額（２）</t>
  </si>
  <si>
    <t>４．給与、公的年金等所得金額</t>
  </si>
  <si>
    <t>給与所得額</t>
  </si>
  <si>
    <t>公的年金等所得額</t>
  </si>
  <si>
    <t>給与所得及び公的年金等所得の合計額</t>
  </si>
  <si>
    <t>（１）所得金額調整控除（給与等）額　算出表</t>
  </si>
  <si>
    <t>１．給与所得計算</t>
  </si>
  <si>
    <t>２．所得金額調整控除（給与等）額　算出表</t>
  </si>
  <si>
    <t>・給与等の収入金額が８５０万円を超え次のアからウのいずれかに該当する場合</t>
  </si>
  <si>
    <t>ア．本人が特別障がい者に該当する</t>
  </si>
  <si>
    <t>イ．年齢２３歳未満の扶養親族を有する</t>
  </si>
  <si>
    <t>給与等の収入金額（Ａ）</t>
  </si>
  <si>
    <t>給与所得の金額（C）</t>
  </si>
  <si>
    <t>ウ．特別障がい者である同一生計配偶者もしくは扶養親族を有する</t>
  </si>
  <si>
    <t>～</t>
  </si>
  <si>
    <t>0円＝（C）</t>
  </si>
  <si>
    <t>給与の総額</t>
  </si>
  <si>
    <t>給与所得控除後の給与等の金額</t>
  </si>
  <si>
    <t>（A）－550,000円＝（C）</t>
  </si>
  <si>
    <t>1,069,000円＝（C）</t>
  </si>
  <si>
    <t>所得控除調整金額</t>
  </si>
  <si>
    <t>1,070,000円＝（C）</t>
  </si>
  <si>
    <t>1,072,000円＝（C）</t>
  </si>
  <si>
    <t>所得控除調整後の給与等の金額</t>
  </si>
  <si>
    <t>1,074,000円＝（C）</t>
  </si>
  <si>
    <t>①：（A）÷４（千円未満切捨て）＝（B）　⇒　②：（B）×2.4+100,000＝（C）</t>
  </si>
  <si>
    <t>①：（A）÷４（千円未満切捨て）＝（B）　⇒　②：（B）×2.8－80,000円＝（C）</t>
  </si>
  <si>
    <t>①：（A）÷４（千円未満切捨て）＝（B）　⇒　②：（B）×3.2－440,000円＝（C）</t>
  </si>
  <si>
    <t>（A）× 90％－1,100,000円＝（C）</t>
  </si>
  <si>
    <t>～</t>
  </si>
  <si>
    <t>（A）－1,950,000円＝（C）</t>
  </si>
  <si>
    <t>所得金額調整控除額の対象給与収入</t>
  </si>
  <si>
    <t>判定用収入</t>
  </si>
  <si>
    <t>給与収入</t>
  </si>
  <si>
    <t>控除額</t>
  </si>
  <si>
    <t>8,500,000万円以上10,000,000万円以下</t>
  </si>
  <si>
    <t>10,000,000万超</t>
  </si>
  <si>
    <t>年間所得</t>
  </si>
  <si>
    <t>最大値</t>
  </si>
  <si>
    <t>（１）所得金額調整控除（給与等）額　算出表</t>
  </si>
  <si>
    <t>１．給与等の収入金額が８５０万円を超え次のアからウのいずれかに該当する場合</t>
  </si>
  <si>
    <t>（２）所得金額調整控除（年金等）額　算出表</t>
  </si>
  <si>
    <t>２．公的年金等に係る雑所得</t>
  </si>
  <si>
    <t>その年中の公的年金等の収入（見積額）</t>
  </si>
  <si>
    <t>年齢（翌年１月１日現在の年齢）</t>
  </si>
  <si>
    <t>公的年金等に係る雑所得以外の所得に係る合計所得金額</t>
  </si>
  <si>
    <t>64歳以下</t>
  </si>
  <si>
    <t>1,000万円超2,000万円以下</t>
  </si>
  <si>
    <t>2,000万円超</t>
  </si>
  <si>
    <t>　（公的年金等控除額）</t>
  </si>
  <si>
    <t>受給者の区分</t>
  </si>
  <si>
    <t>受給者の区分その年中の
公的年金等の収入金額（A）</t>
  </si>
  <si>
    <t>控除額</t>
  </si>
  <si>
    <t>110万円</t>
  </si>
  <si>
    <t>100万円</t>
  </si>
  <si>
    <t>90万円</t>
  </si>
  <si>
    <t>～</t>
  </si>
  <si>
    <t>（A）×25％＋ 27万5,000円</t>
  </si>
  <si>
    <t>～</t>
  </si>
  <si>
    <t>（A）×25％＋ 17万5,000円</t>
  </si>
  <si>
    <t>～</t>
  </si>
  <si>
    <t>（A）×25％＋ 7万5,000円</t>
  </si>
  <si>
    <t>（A）×15％＋ 68万5,000円</t>
  </si>
  <si>
    <t>～</t>
  </si>
  <si>
    <t>（A）×15％＋ 58万5,000円</t>
  </si>
  <si>
    <t>（A）×15％＋ 48万5,000円</t>
  </si>
  <si>
    <t>（A）× 5％＋145万5,000円</t>
  </si>
  <si>
    <t>～</t>
  </si>
  <si>
    <t>（A）× 5％＋135万5,000円</t>
  </si>
  <si>
    <t>（A）× 5％＋125万5,000円</t>
  </si>
  <si>
    <t>195万5,000円</t>
  </si>
  <si>
    <t>～</t>
  </si>
  <si>
    <t>185万5,000円</t>
  </si>
  <si>
    <t>～</t>
  </si>
  <si>
    <t>175万5,000円</t>
  </si>
  <si>
    <t>60万円</t>
  </si>
  <si>
    <t>～</t>
  </si>
  <si>
    <t>50万円</t>
  </si>
  <si>
    <t>40万円</t>
  </si>
  <si>
    <t>（A）×25％＋ 27万5,000円</t>
  </si>
  <si>
    <t>（A）×25％＋ 17万5,000円</t>
  </si>
  <si>
    <t>～</t>
  </si>
  <si>
    <t>（A）×15％＋ 68万5,000円</t>
  </si>
  <si>
    <t>（A）×15％＋ 58万5,000円</t>
  </si>
  <si>
    <t>（A）× 5％＋145万5,000円</t>
  </si>
  <si>
    <t>（A）× 5％＋135万5,000円</t>
  </si>
  <si>
    <t>（A）× 5％＋125万5,000円</t>
  </si>
  <si>
    <t>～</t>
  </si>
  <si>
    <t>【雑所得】</t>
  </si>
  <si>
    <t>　原稿料や印税、講演料、放送出演料、貸金の利子、生命保険契約等に基づく年金など他のいずれの所得にも該当しない</t>
  </si>
  <si>
    <t>所得や恩給（一時恩給を除きます。）、国民年金、厚生年金、共済年金などの公的年金等は、雑所得となります。</t>
  </si>
  <si>
    <t>公的年金等に係る雑所得：収入金額から公的年金等控除額を控除した残額</t>
  </si>
  <si>
    <t>公的年金等控除額</t>
  </si>
  <si>
    <t>公的年金等に
係る雑所得の金額</t>
  </si>
  <si>
    <t>３．所得金額調整控除額（年金等）</t>
  </si>
  <si>
    <t>給与所得</t>
  </si>
  <si>
    <t xml:space="preserve">・給与等の収入金額が８５０万円を超え次のアからウのいずれかに該当する場合
ア．本人が特別障がい者に該当する
イ．年齢２３歳未満の扶養親族を有する
ウ．特別障がい者である同一生計配偶者もしくは扶養親族を有する
</t>
  </si>
  <si>
    <t>該当</t>
  </si>
  <si>
    <t>非該当</t>
  </si>
  <si>
    <t>～３９歳</t>
  </si>
  <si>
    <t>４０歳～６４歳</t>
  </si>
  <si>
    <t>６５歳～</t>
  </si>
  <si>
    <t>年齢</t>
  </si>
  <si>
    <t>区分</t>
  </si>
  <si>
    <t>給与所得</t>
  </si>
  <si>
    <t>その他所得</t>
  </si>
  <si>
    <t>　　 営業等の所得については、その他所得に入力します。</t>
  </si>
  <si>
    <t>１、２を入力することで、給与所得および年金所得が「４」に記載されます</t>
  </si>
  <si>
    <t>入力箇所</t>
  </si>
  <si>
    <t>給与所得・年金所得出力箇所</t>
  </si>
  <si>
    <t>２．入力項目【所得金額調整控除額（１．給与等）】</t>
  </si>
  <si>
    <t>１．入力項目【給与収入・年金収入】</t>
  </si>
  <si>
    <t>合計</t>
  </si>
  <si>
    <t>判定用所得</t>
  </si>
  <si>
    <t>※１に該当する者</t>
  </si>
  <si>
    <t>該当</t>
  </si>
  <si>
    <t>非該当</t>
  </si>
  <si>
    <t>①　上尾市国民健康保険に加入される方の年齢区分を選択します。</t>
  </si>
  <si>
    <t>②　加入される方の給与収入・年金収入・その他所得を入力します。</t>
  </si>
  <si>
    <t xml:space="preserve"> 確定申告をした方は所得合計額を「その他所得」に入力します。</t>
  </si>
  <si>
    <t>　円</t>
  </si>
  <si>
    <t>給与</t>
  </si>
  <si>
    <t>年金（64↓）</t>
  </si>
  <si>
    <t>軽減判定所得</t>
  </si>
  <si>
    <t>軽減判定</t>
  </si>
  <si>
    <t>被保険者数</t>
  </si>
  <si>
    <t>２割軽減</t>
  </si>
  <si>
    <t>５割軽減</t>
  </si>
  <si>
    <t>７割軽減</t>
  </si>
  <si>
    <t>1人</t>
  </si>
  <si>
    <t>円以下</t>
  </si>
  <si>
    <t>加入者数</t>
  </si>
  <si>
    <t>2人</t>
  </si>
  <si>
    <t>3人</t>
  </si>
  <si>
    <t>4人</t>
  </si>
  <si>
    <t>5人</t>
  </si>
  <si>
    <t>6人</t>
  </si>
  <si>
    <t>7人</t>
  </si>
  <si>
    <t>1人増すごとに</t>
  </si>
  <si>
    <t>円加算</t>
  </si>
  <si>
    <t>加算なし</t>
  </si>
  <si>
    <t>430,000円以下</t>
  </si>
  <si>
    <t>年金収入（64以下）</t>
  </si>
  <si>
    <t>年金収入（65以上）</t>
  </si>
  <si>
    <t>給与収入</t>
  </si>
  <si>
    <t>新軽減判定対象人数</t>
  </si>
  <si>
    <t>計算式</t>
  </si>
  <si>
    <t>給与所得者等の数</t>
  </si>
  <si>
    <t>＝</t>
  </si>
  <si>
    <t>軽減判定対象</t>
  </si>
  <si>
    <t>－</t>
  </si>
  <si>
    <t>*</t>
  </si>
  <si>
    <t>∴</t>
  </si>
  <si>
    <t>軽減用</t>
  </si>
  <si>
    <t>６５歳以上</t>
  </si>
  <si>
    <t>年金所得</t>
  </si>
  <si>
    <t>年金（65以上）</t>
  </si>
  <si>
    <t>年金（65↑）</t>
  </si>
  <si>
    <t>合計</t>
  </si>
  <si>
    <t>最大値</t>
  </si>
  <si>
    <t>軽減</t>
  </si>
  <si>
    <t>合計</t>
  </si>
  <si>
    <t>軽減判定基準見直し対象者数</t>
  </si>
  <si>
    <t>（課税内訳）</t>
  </si>
  <si>
    <t>※給与収入欄に収入金額を入力された方は、下記を確認してください。年金収入・その他所得は関係ありません。</t>
  </si>
  <si>
    <r>
      <t xml:space="preserve">  １． </t>
    </r>
    <r>
      <rPr>
        <b/>
        <sz val="14"/>
        <color indexed="8"/>
        <rFont val="ＭＳ Ｐゴシック"/>
        <family val="3"/>
      </rPr>
      <t>給与収入が８５０万円を超える方</t>
    </r>
    <r>
      <rPr>
        <sz val="14"/>
        <color indexed="8"/>
        <rFont val="ＭＳ Ｐゴシック"/>
        <family val="3"/>
      </rPr>
      <t>で、下記ア～ウに該当する場合には、「１．に該当する者」で【</t>
    </r>
    <r>
      <rPr>
        <b/>
        <sz val="14"/>
        <color indexed="8"/>
        <rFont val="ＭＳ Ｐゴシック"/>
        <family val="3"/>
      </rPr>
      <t>該当】</t>
    </r>
    <r>
      <rPr>
        <sz val="14"/>
        <color indexed="8"/>
        <rFont val="ＭＳ Ｐゴシック"/>
        <family val="3"/>
      </rPr>
      <t>するを選択してください。</t>
    </r>
  </si>
  <si>
    <t>●国民健康保険税は普通徴収の場合、年８回の納期で納付となります。</t>
  </si>
  <si>
    <t>●国保加入の時期によって、納期が８回より少なくなる場合があります。</t>
  </si>
  <si>
    <t>●世帯主を含む国保加入者全員が６５歳以上の場合など、一定の条件を満たすと国保税が特別徴収（年金から天引き）されます。</t>
  </si>
  <si>
    <t>保護解除のPWは0487826471ageoだよー。電話番号だよー。</t>
  </si>
  <si>
    <t>ア．本人が特別障がい者に該当する。</t>
  </si>
  <si>
    <t>イ．年齢２３歳未満の扶養親族を有する。</t>
  </si>
  <si>
    <t>ウ．特別障がい者である同一生計配偶者もしくは扶養親族を有する。</t>
  </si>
  <si>
    <t>F13の金額を足せば加算含むことになります。HP用の判定は含んで自動計算してあります。</t>
  </si>
  <si>
    <t>軽減判定所得（軽減判定加算含まない）</t>
  </si>
  <si>
    <r>
      <t>③　給与収入・年金収入・その他所得がない場合は空白のままにします。</t>
    </r>
    <r>
      <rPr>
        <b/>
        <sz val="12"/>
        <color indexed="8"/>
        <rFont val="ＭＳ Ｐゴシック"/>
        <family val="3"/>
      </rPr>
      <t>（年齢区分は必ず入力してください。均等割額が反映しません）</t>
    </r>
  </si>
  <si>
    <t>※納期毎の税額は国保税を納期の回数で割り振った税額となりますので、１か月あたりの税額と納期毎の税額は異なることがあります。</t>
  </si>
  <si>
    <t>年度途中で国保に加入・脱退した場合は月割りで国保税がかかります。</t>
  </si>
  <si>
    <t>なお、お電話では個人情報の取扱いから、お答えできかねることもございますのでご了承ください。</t>
  </si>
  <si>
    <t>B.年金所得△１５万円</t>
  </si>
  <si>
    <t>(「B.年金所得△１５万円」を控除して計算)</t>
  </si>
  <si>
    <t>A.加算基準額</t>
  </si>
  <si>
    <t>（「A.加算基準額を加算して軽減判定所得を判定している。」）</t>
  </si>
  <si>
    <t>※下記の軽減判定所得は令和３年度からの加算基準額は反映しておりません。</t>
  </si>
  <si>
    <t>↓令和３年度以降のみ使用してください!!</t>
  </si>
  <si>
    <t>７～３９歳</t>
  </si>
  <si>
    <t>０～６歳</t>
  </si>
  <si>
    <t>子ども均等割用</t>
  </si>
  <si>
    <t>未就学児数</t>
  </si>
  <si>
    <t>医療分</t>
  </si>
  <si>
    <t>支援分</t>
  </si>
  <si>
    <t>子ども均等割減額分</t>
  </si>
  <si>
    <t>医療分</t>
  </si>
  <si>
    <t>支援分</t>
  </si>
  <si>
    <t>介護分</t>
  </si>
  <si>
    <t>税率</t>
  </si>
  <si>
    <t>賦課限度額</t>
  </si>
  <si>
    <t>均等割額</t>
  </si>
  <si>
    <t>基礎控除額</t>
  </si>
  <si>
    <t>※税率改正等あれば、ここに改正後を入力する。計算過程の式には</t>
  </si>
  <si>
    <t>上記のセルが組み込まれてます。ただし、計算方法等が変更した場合は</t>
  </si>
  <si>
    <t>新しく作ってください。</t>
  </si>
  <si>
    <t>年金収入65以上</t>
  </si>
  <si>
    <t>給与収入</t>
  </si>
  <si>
    <t>年金収入64以下</t>
  </si>
  <si>
    <t>旧ただし書所得</t>
  </si>
  <si>
    <t>軽減基礎額</t>
  </si>
  <si>
    <t>国保加入者の所得が一定以下の場合や未就学児については、均等割が軽減される場合があります。</t>
  </si>
  <si>
    <t>※軽減判定が反映しないように消してあります。</t>
  </si>
  <si>
    <t>１．に該当する者</t>
  </si>
  <si>
    <t>年齢区分</t>
  </si>
  <si>
    <t>年金収入</t>
  </si>
  <si>
    <t>30
/100</t>
  </si>
  <si>
    <t>令和5年度上尾市国民健康保険税の試算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</si>
</sst>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s>
  <fonts count="76">
    <font>
      <sz val="11"/>
      <color theme="1"/>
      <name val="Calibri"/>
      <family val="3"/>
    </font>
    <font>
      <sz val="11"/>
      <color indexed="8"/>
      <name val="ＭＳ Ｐゴシック"/>
      <family val="3"/>
    </font>
    <font>
      <sz val="6"/>
      <name val="ＭＳ Ｐゴシック"/>
      <family val="3"/>
    </font>
    <font>
      <sz val="14"/>
      <name val="ＭＳ Ｐゴシック"/>
      <family val="3"/>
    </font>
    <font>
      <sz val="14"/>
      <color indexed="8"/>
      <name val="ＭＳ Ｐゴシック"/>
      <family val="3"/>
    </font>
    <font>
      <sz val="6"/>
      <name val="メイリオ"/>
      <family val="3"/>
    </font>
    <font>
      <b/>
      <sz val="12"/>
      <color indexed="8"/>
      <name val="ＭＳ Ｐゴシック"/>
      <family val="3"/>
    </font>
    <font>
      <b/>
      <sz val="14"/>
      <color indexed="8"/>
      <name val="ＭＳ Ｐゴシック"/>
      <family val="3"/>
    </font>
    <font>
      <sz val="16"/>
      <color indexed="8"/>
      <name val="ＭＳ Ｐゴシック"/>
      <family val="3"/>
    </font>
    <font>
      <sz val="18"/>
      <color indexed="8"/>
      <name val="ＭＳ Ｐゴシック"/>
      <family val="3"/>
    </font>
    <font>
      <sz val="36"/>
      <color indexed="8"/>
      <name val="HG丸ｺﾞｼｯｸM-PRO"/>
      <family val="3"/>
    </font>
    <font>
      <sz val="20"/>
      <color indexed="8"/>
      <name val="ＭＳ Ｐゴシック"/>
      <family val="3"/>
    </font>
    <font>
      <sz val="36"/>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1"/>
      <color indexed="9"/>
      <name val="ＭＳ Ｐゴシック"/>
      <family val="3"/>
    </font>
    <font>
      <sz val="11"/>
      <color indexed="55"/>
      <name val="ＭＳ Ｐゴシック"/>
      <family val="3"/>
    </font>
    <font>
      <b/>
      <sz val="11"/>
      <color indexed="8"/>
      <name val="ＭＳ Ｐゴシック"/>
      <family val="3"/>
    </font>
    <font>
      <b/>
      <sz val="9"/>
      <color indexed="8"/>
      <name val="ＭＳ Ｐゴシック"/>
      <family val="3"/>
    </font>
    <font>
      <b/>
      <sz val="18"/>
      <color indexed="8"/>
      <name val="ＭＳ Ｐゴシック"/>
      <family val="3"/>
    </font>
    <font>
      <b/>
      <sz val="16"/>
      <name val="ＭＳ Ｐゴシック"/>
      <family val="3"/>
    </font>
    <font>
      <sz val="22"/>
      <color indexed="8"/>
      <name val="HG丸ｺﾞｼｯｸM-PRO"/>
      <family val="3"/>
    </font>
    <font>
      <b/>
      <sz val="20"/>
      <color indexed="8"/>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b/>
      <sz val="11"/>
      <color indexed="9"/>
      <name val="HG丸ｺﾞｼｯｸM-PRO"/>
      <family val="3"/>
    </font>
    <font>
      <sz val="18"/>
      <color indexed="9"/>
      <name val="ＭＳ Ｐゴシック"/>
      <family val="3"/>
    </font>
    <font>
      <b/>
      <sz val="22"/>
      <color indexed="8"/>
      <name val="HG丸ｺﾞｼｯｸM-PRO"/>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8"/>
      <color theme="1"/>
      <name val="Calibri"/>
      <family val="3"/>
    </font>
    <font>
      <sz val="36"/>
      <color theme="1"/>
      <name val="HG丸ｺﾞｼｯｸM-PRO"/>
      <family val="3"/>
    </font>
    <font>
      <sz val="20"/>
      <color theme="1"/>
      <name val="Calibri"/>
      <family val="3"/>
    </font>
    <font>
      <sz val="36"/>
      <color theme="1"/>
      <name val="Calibri"/>
      <family val="3"/>
    </font>
    <font>
      <sz val="14"/>
      <color theme="1"/>
      <name val="Calibri"/>
      <family val="3"/>
    </font>
    <font>
      <sz val="9"/>
      <color theme="1"/>
      <name val="Calibri"/>
      <family val="3"/>
    </font>
    <font>
      <sz val="12"/>
      <color theme="1"/>
      <name val="Calibri"/>
      <family val="3"/>
    </font>
    <font>
      <sz val="10"/>
      <color theme="1"/>
      <name val="Calibri"/>
      <family val="3"/>
    </font>
    <font>
      <sz val="11"/>
      <color theme="0" tint="-0.3499799966812134"/>
      <name val="Calibri"/>
      <family val="3"/>
    </font>
    <font>
      <b/>
      <sz val="14"/>
      <color theme="1"/>
      <name val="Calibri"/>
      <family val="3"/>
    </font>
    <font>
      <b/>
      <sz val="9"/>
      <color theme="1"/>
      <name val="Calibri"/>
      <family val="3"/>
    </font>
    <font>
      <b/>
      <sz val="18"/>
      <color theme="1"/>
      <name val="Calibri"/>
      <family val="3"/>
    </font>
    <font>
      <b/>
      <sz val="12"/>
      <color theme="1"/>
      <name val="Calibri"/>
      <family val="3"/>
    </font>
    <font>
      <b/>
      <sz val="16"/>
      <name val="Calibri"/>
      <family val="3"/>
    </font>
    <font>
      <sz val="22"/>
      <color theme="1"/>
      <name val="HG丸ｺﾞｼｯｸM-PRO"/>
      <family val="3"/>
    </font>
    <font>
      <b/>
      <sz val="20"/>
      <color theme="1"/>
      <name val="HG丸ｺﾞｼｯｸM-PRO"/>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3" tint="0.5999900102615356"/>
        <bgColor indexed="64"/>
      </patternFill>
    </fill>
    <fill>
      <patternFill patternType="solid">
        <fgColor theme="3" tint="0.799979984760284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style="medium"/>
      <right style="thin"/>
      <top/>
      <bottom/>
    </border>
    <border>
      <left/>
      <right/>
      <top style="medium"/>
      <bottom/>
    </border>
    <border>
      <left style="thin"/>
      <right style="medium"/>
      <top style="thin"/>
      <bottom style="thin"/>
    </border>
    <border>
      <left style="medium"/>
      <right style="medium"/>
      <top style="medium"/>
      <bottom style="medium"/>
    </border>
    <border>
      <left style="thin"/>
      <right/>
      <top/>
      <bottom/>
    </border>
    <border>
      <left/>
      <right style="thin"/>
      <top/>
      <bottom/>
    </border>
    <border>
      <left style="thin"/>
      <right style="thin"/>
      <top/>
      <bottom style="medium"/>
    </border>
    <border>
      <left/>
      <right/>
      <top/>
      <bottom style="medium"/>
    </border>
    <border>
      <left/>
      <right/>
      <top style="medium"/>
      <bottom style="medium"/>
    </border>
    <border>
      <left style="medium"/>
      <right/>
      <top/>
      <bottom/>
    </border>
    <border>
      <left style="medium"/>
      <right style="medium"/>
      <top/>
      <bottom/>
    </border>
    <border>
      <left/>
      <right style="medium"/>
      <top style="medium"/>
      <bottom style="medium"/>
    </border>
    <border>
      <left style="medium"/>
      <right style="dotted"/>
      <top style="medium"/>
      <bottom style="dotted"/>
    </border>
    <border>
      <left/>
      <right style="dotted"/>
      <top style="medium"/>
      <bottom style="dotted"/>
    </border>
    <border>
      <left/>
      <right style="dotted"/>
      <top style="medium"/>
      <bottom/>
    </border>
    <border>
      <left/>
      <right style="medium"/>
      <top style="medium"/>
      <bottom style="dotted"/>
    </border>
    <border>
      <left style="medium"/>
      <right style="dotted"/>
      <top style="dotted"/>
      <bottom style="dotted"/>
    </border>
    <border>
      <left/>
      <right style="dotted"/>
      <top style="dotted"/>
      <bottom style="dotted"/>
    </border>
    <border>
      <left style="dotted"/>
      <right style="dotted"/>
      <top/>
      <bottom/>
    </border>
    <border>
      <left/>
      <right style="medium"/>
      <top style="dotted"/>
      <bottom style="dotted"/>
    </border>
    <border>
      <left style="medium"/>
      <right style="dotted"/>
      <top/>
      <bottom/>
    </border>
    <border>
      <left/>
      <right style="dotted"/>
      <top/>
      <bottom/>
    </border>
    <border>
      <left/>
      <right style="medium"/>
      <top/>
      <bottom/>
    </border>
    <border>
      <left style="medium"/>
      <right style="dotted"/>
      <top/>
      <bottom style="medium"/>
    </border>
    <border>
      <left/>
      <right style="dotted"/>
      <top/>
      <bottom style="medium"/>
    </border>
    <border>
      <left/>
      <right style="medium"/>
      <top/>
      <bottom style="medium"/>
    </border>
    <border>
      <left style="medium"/>
      <right/>
      <top style="medium"/>
      <bottom/>
    </border>
    <border>
      <left/>
      <right style="medium"/>
      <top style="medium"/>
      <bottom/>
    </border>
    <border>
      <left style="medium"/>
      <right/>
      <top/>
      <bottom style="medium"/>
    </border>
    <border>
      <left style="medium"/>
      <right/>
      <top style="medium"/>
      <bottom style="medium"/>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56">
    <xf numFmtId="0" fontId="0"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pplyProtection="1">
      <alignment horizontal="center" vertical="center"/>
      <protection/>
    </xf>
    <xf numFmtId="38" fontId="0" fillId="0" borderId="0" xfId="48"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Alignment="1">
      <alignment vertical="center"/>
    </xf>
    <xf numFmtId="0" fontId="58" fillId="0" borderId="0" xfId="0" applyFont="1" applyAlignment="1" applyProtection="1">
      <alignment vertical="center"/>
      <protection/>
    </xf>
    <xf numFmtId="0" fontId="61" fillId="0" borderId="0" xfId="0" applyFont="1" applyAlignment="1" applyProtection="1">
      <alignment vertical="center"/>
      <protection/>
    </xf>
    <xf numFmtId="38" fontId="0" fillId="33" borderId="0" xfId="48" applyFont="1" applyFill="1" applyAlignment="1" applyProtection="1">
      <alignment vertical="center"/>
      <protection/>
    </xf>
    <xf numFmtId="0" fontId="0" fillId="33" borderId="0" xfId="0" applyFont="1" applyFill="1" applyAlignment="1" applyProtection="1">
      <alignment vertical="center"/>
      <protection/>
    </xf>
    <xf numFmtId="0" fontId="58" fillId="0" borderId="10" xfId="0" applyFont="1" applyBorder="1" applyAlignment="1" applyProtection="1">
      <alignment vertical="center"/>
      <protection/>
    </xf>
    <xf numFmtId="0" fontId="58" fillId="0" borderId="11" xfId="0" applyFont="1" applyBorder="1" applyAlignment="1" applyProtection="1">
      <alignment horizontal="center" vertical="center"/>
      <protection/>
    </xf>
    <xf numFmtId="0" fontId="58" fillId="33" borderId="0" xfId="0" applyFont="1" applyFill="1" applyBorder="1" applyAlignment="1" applyProtection="1">
      <alignment horizontal="center" vertical="center" wrapText="1"/>
      <protection/>
    </xf>
    <xf numFmtId="0" fontId="59" fillId="0" borderId="0" xfId="0" applyFont="1" applyAlignment="1" applyProtection="1">
      <alignment vertical="center"/>
      <protection/>
    </xf>
    <xf numFmtId="0" fontId="59" fillId="33" borderId="0" xfId="0" applyFont="1" applyFill="1" applyBorder="1" applyAlignment="1" applyProtection="1">
      <alignment vertical="center"/>
      <protection/>
    </xf>
    <xf numFmtId="38" fontId="59" fillId="0" borderId="0" xfId="48" applyFont="1" applyAlignment="1" applyProtection="1">
      <alignment vertical="center"/>
      <protection/>
    </xf>
    <xf numFmtId="38" fontId="59" fillId="0" borderId="0" xfId="0" applyNumberFormat="1" applyFont="1" applyAlignment="1">
      <alignment vertical="center"/>
    </xf>
    <xf numFmtId="0" fontId="0" fillId="0" borderId="0" xfId="0" applyFont="1" applyBorder="1" applyAlignment="1" applyProtection="1">
      <alignment horizontal="center" vertical="center"/>
      <protection/>
    </xf>
    <xf numFmtId="0" fontId="0" fillId="33" borderId="0" xfId="0" applyFont="1" applyFill="1" applyBorder="1" applyAlignment="1" applyProtection="1">
      <alignment vertical="center"/>
      <protection/>
    </xf>
    <xf numFmtId="38" fontId="0" fillId="0" borderId="0" xfId="0" applyNumberFormat="1" applyFont="1" applyAlignment="1">
      <alignment vertical="center"/>
    </xf>
    <xf numFmtId="38" fontId="62" fillId="33" borderId="0" xfId="48" applyFont="1" applyFill="1" applyBorder="1" applyAlignment="1" applyProtection="1">
      <alignment vertical="center"/>
      <protection/>
    </xf>
    <xf numFmtId="38" fontId="0" fillId="0" borderId="0" xfId="48" applyFont="1" applyBorder="1" applyAlignment="1" applyProtection="1">
      <alignment vertical="center"/>
      <protection/>
    </xf>
    <xf numFmtId="0" fontId="63" fillId="0" borderId="0" xfId="0" applyFont="1" applyAlignment="1" applyProtection="1">
      <alignment vertical="center"/>
      <protection/>
    </xf>
    <xf numFmtId="38" fontId="63" fillId="0" borderId="0" xfId="48" applyFont="1" applyAlignment="1" applyProtection="1">
      <alignment vertical="center" wrapText="1"/>
      <protection/>
    </xf>
    <xf numFmtId="38" fontId="58" fillId="0" borderId="0" xfId="48" applyFont="1" applyAlignment="1" applyProtection="1">
      <alignment vertical="center"/>
      <protection/>
    </xf>
    <xf numFmtId="38" fontId="63" fillId="0" borderId="0" xfId="48" applyFont="1" applyAlignment="1" applyProtection="1">
      <alignment vertical="center"/>
      <protection/>
    </xf>
    <xf numFmtId="38" fontId="63" fillId="33" borderId="0" xfId="48" applyFont="1" applyFill="1" applyAlignment="1" applyProtection="1">
      <alignment vertical="center"/>
      <protection/>
    </xf>
    <xf numFmtId="38" fontId="0" fillId="33" borderId="0" xfId="0" applyNumberFormat="1" applyFont="1" applyFill="1" applyAlignment="1" applyProtection="1">
      <alignment vertical="center"/>
      <protection/>
    </xf>
    <xf numFmtId="0" fontId="63" fillId="0" borderId="0" xfId="0" applyFont="1" applyAlignment="1">
      <alignment vertical="center"/>
    </xf>
    <xf numFmtId="38" fontId="0" fillId="0" borderId="0" xfId="48" applyFont="1" applyAlignment="1">
      <alignment vertical="center"/>
    </xf>
    <xf numFmtId="38" fontId="63" fillId="0" borderId="0" xfId="48" applyFont="1" applyAlignment="1">
      <alignment vertical="center"/>
    </xf>
    <xf numFmtId="38" fontId="64" fillId="0" borderId="0" xfId="48" applyFont="1" applyBorder="1" applyAlignment="1" applyProtection="1">
      <alignment vertical="center" wrapText="1"/>
      <protection/>
    </xf>
    <xf numFmtId="0" fontId="0" fillId="0" borderId="0" xfId="0" applyAlignment="1">
      <alignment vertical="center" shrinkToFit="1"/>
    </xf>
    <xf numFmtId="3" fontId="0" fillId="0" borderId="0" xfId="0" applyNumberFormat="1" applyAlignment="1">
      <alignment vertical="center"/>
    </xf>
    <xf numFmtId="0" fontId="0" fillId="0" borderId="0" xfId="0" applyAlignment="1">
      <alignment vertical="center"/>
    </xf>
    <xf numFmtId="3" fontId="0" fillId="0" borderId="0" xfId="0" applyNumberFormat="1" applyAlignment="1">
      <alignment horizontal="left" vertical="center"/>
    </xf>
    <xf numFmtId="3" fontId="0" fillId="0" borderId="0" xfId="0" applyNumberFormat="1" applyAlignment="1">
      <alignment vertical="center"/>
    </xf>
    <xf numFmtId="0" fontId="0" fillId="0" borderId="0" xfId="0" applyAlignment="1">
      <alignment horizontal="right" vertical="center" shrinkToFit="1"/>
    </xf>
    <xf numFmtId="3" fontId="0" fillId="0" borderId="0" xfId="0" applyNumberFormat="1" applyAlignment="1">
      <alignment vertical="center" shrinkToFit="1"/>
    </xf>
    <xf numFmtId="0" fontId="0" fillId="0" borderId="0" xfId="0" applyAlignment="1">
      <alignment horizontal="center" vertical="center"/>
    </xf>
    <xf numFmtId="0" fontId="0" fillId="0" borderId="11" xfId="0" applyBorder="1" applyAlignment="1">
      <alignment vertical="center"/>
    </xf>
    <xf numFmtId="176" fontId="0" fillId="0" borderId="12" xfId="0" applyNumberFormat="1" applyBorder="1" applyAlignment="1">
      <alignment vertical="center"/>
    </xf>
    <xf numFmtId="176" fontId="0" fillId="0" borderId="13" xfId="0" applyNumberFormat="1" applyBorder="1" applyAlignment="1">
      <alignment horizontal="center" vertical="center"/>
    </xf>
    <xf numFmtId="176" fontId="0" fillId="0" borderId="14" xfId="0" applyNumberFormat="1" applyBorder="1" applyAlignment="1">
      <alignment vertical="center"/>
    </xf>
    <xf numFmtId="0" fontId="0" fillId="0" borderId="0" xfId="0" applyAlignment="1">
      <alignment vertical="center" wrapText="1"/>
    </xf>
    <xf numFmtId="0" fontId="63"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65" fillId="0" borderId="0" xfId="0" applyFont="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176" fontId="0" fillId="34" borderId="15" xfId="0" applyNumberFormat="1" applyFill="1" applyBorder="1" applyAlignment="1" applyProtection="1">
      <alignment vertical="center"/>
      <protection hidden="1" locked="0"/>
    </xf>
    <xf numFmtId="0" fontId="0" fillId="0" borderId="17"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0" xfId="0" applyFont="1" applyAlignment="1" applyProtection="1">
      <alignment vertical="center"/>
      <protection hidden="1"/>
    </xf>
    <xf numFmtId="0" fontId="0" fillId="0" borderId="12" xfId="0" applyBorder="1" applyAlignment="1" applyProtection="1">
      <alignment horizontal="right" vertical="center"/>
      <protection hidden="1"/>
    </xf>
    <xf numFmtId="0" fontId="0" fillId="0" borderId="14" xfId="0" applyBorder="1" applyAlignment="1" applyProtection="1">
      <alignment vertical="center"/>
      <protection hidden="1"/>
    </xf>
    <xf numFmtId="176" fontId="0" fillId="0" borderId="15" xfId="0" applyNumberFormat="1"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176" fontId="0" fillId="0" borderId="18" xfId="0" applyNumberFormat="1" applyBorder="1" applyAlignment="1" applyProtection="1">
      <alignment vertical="center"/>
      <protection hidden="1"/>
    </xf>
    <xf numFmtId="0" fontId="0" fillId="0" borderId="20" xfId="0" applyBorder="1" applyAlignment="1" applyProtection="1">
      <alignment vertical="center"/>
      <protection hidden="1"/>
    </xf>
    <xf numFmtId="0" fontId="0" fillId="0" borderId="14" xfId="0"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38" fontId="0" fillId="0" borderId="25" xfId="48" applyFont="1" applyBorder="1" applyAlignment="1" applyProtection="1">
      <alignment vertical="center"/>
      <protection hidden="1"/>
    </xf>
    <xf numFmtId="0" fontId="0" fillId="0" borderId="10" xfId="0" applyFont="1" applyBorder="1" applyAlignment="1" applyProtection="1">
      <alignment vertical="center"/>
      <protection/>
    </xf>
    <xf numFmtId="0" fontId="59" fillId="12" borderId="11" xfId="0" applyFont="1" applyFill="1" applyBorder="1" applyAlignment="1" applyProtection="1">
      <alignment vertical="center"/>
      <protection locked="0"/>
    </xf>
    <xf numFmtId="38" fontId="59" fillId="12" borderId="11" xfId="48" applyFont="1" applyFill="1" applyBorder="1" applyAlignment="1" applyProtection="1">
      <alignment vertical="center"/>
      <protection locked="0"/>
    </xf>
    <xf numFmtId="0" fontId="66" fillId="12" borderId="11" xfId="0" applyFont="1" applyFill="1" applyBorder="1" applyAlignment="1" applyProtection="1">
      <alignment horizontal="center" vertical="center"/>
      <protection locked="0"/>
    </xf>
    <xf numFmtId="38" fontId="62" fillId="33" borderId="0" xfId="48" applyFont="1" applyFill="1" applyBorder="1" applyAlignment="1" applyProtection="1">
      <alignment horizontal="left" vertical="center"/>
      <protection/>
    </xf>
    <xf numFmtId="0" fontId="0" fillId="33" borderId="0" xfId="0" applyFont="1" applyFill="1" applyAlignment="1" applyProtection="1">
      <alignment horizontal="left" vertical="center"/>
      <protection/>
    </xf>
    <xf numFmtId="38" fontId="0" fillId="35" borderId="21" xfId="48" applyFont="1" applyFill="1" applyBorder="1" applyAlignment="1" applyProtection="1">
      <alignment horizontal="right" vertical="center"/>
      <protection hidden="1"/>
    </xf>
    <xf numFmtId="38" fontId="0" fillId="35" borderId="13" xfId="48" applyFont="1" applyFill="1" applyBorder="1" applyAlignment="1" applyProtection="1">
      <alignment horizontal="right" vertical="center"/>
      <protection hidden="1"/>
    </xf>
    <xf numFmtId="38" fontId="63" fillId="33" borderId="0" xfId="48" applyFont="1" applyFill="1" applyAlignment="1" applyProtection="1">
      <alignment horizontal="right" vertical="center"/>
      <protection/>
    </xf>
    <xf numFmtId="38" fontId="0" fillId="33" borderId="0" xfId="48" applyFont="1" applyFill="1" applyAlignment="1" applyProtection="1">
      <alignment horizontal="right" vertical="center"/>
      <protection/>
    </xf>
    <xf numFmtId="0" fontId="0" fillId="34" borderId="0" xfId="0" applyFill="1" applyAlignment="1">
      <alignment vertical="center"/>
    </xf>
    <xf numFmtId="3" fontId="0" fillId="34" borderId="0" xfId="0" applyNumberFormat="1" applyFill="1" applyAlignment="1">
      <alignment horizontal="left" vertical="center" shrinkToFit="1"/>
    </xf>
    <xf numFmtId="3" fontId="0" fillId="34" borderId="0" xfId="0" applyNumberFormat="1" applyFill="1" applyAlignment="1">
      <alignment vertical="center"/>
    </xf>
    <xf numFmtId="38" fontId="0" fillId="34" borderId="0" xfId="0" applyNumberFormat="1" applyFill="1" applyAlignment="1">
      <alignment vertical="center"/>
    </xf>
    <xf numFmtId="0" fontId="0" fillId="0" borderId="0" xfId="0" applyFill="1" applyAlignment="1">
      <alignment horizontal="right" vertical="center" shrinkToFit="1"/>
    </xf>
    <xf numFmtId="0" fontId="0" fillId="34" borderId="0" xfId="0" applyFill="1" applyAlignment="1">
      <alignment horizontal="center" vertical="center"/>
    </xf>
    <xf numFmtId="38" fontId="0" fillId="0" borderId="11" xfId="0" applyNumberFormat="1"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4" xfId="48" applyFont="1" applyBorder="1" applyAlignment="1">
      <alignment vertical="center"/>
    </xf>
    <xf numFmtId="38" fontId="0" fillId="0" borderId="13" xfId="48" applyFont="1" applyBorder="1" applyAlignment="1">
      <alignment vertical="center"/>
    </xf>
    <xf numFmtId="38" fontId="0" fillId="0" borderId="0" xfId="48" applyFont="1" applyBorder="1" applyAlignment="1">
      <alignment vertical="center"/>
    </xf>
    <xf numFmtId="38" fontId="0" fillId="0" borderId="0" xfId="0" applyNumberFormat="1" applyAlignment="1">
      <alignment vertical="center"/>
    </xf>
    <xf numFmtId="38" fontId="0" fillId="0" borderId="0" xfId="0" applyNumberFormat="1"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0" xfId="0" applyFont="1" applyAlignment="1">
      <alignment horizontal="center" vertical="center"/>
    </xf>
    <xf numFmtId="38" fontId="64" fillId="0" borderId="0" xfId="48" applyFont="1" applyBorder="1" applyAlignment="1" applyProtection="1">
      <alignment horizontal="left" vertical="center"/>
      <protection/>
    </xf>
    <xf numFmtId="177" fontId="0" fillId="0" borderId="0" xfId="0" applyNumberFormat="1" applyFont="1" applyAlignment="1">
      <alignment vertical="center"/>
    </xf>
    <xf numFmtId="0" fontId="0" fillId="0" borderId="0" xfId="0" applyFont="1" applyAlignment="1" quotePrefix="1">
      <alignment horizontal="center" vertical="center"/>
    </xf>
    <xf numFmtId="0" fontId="0" fillId="0" borderId="0" xfId="0" applyNumberFormat="1" applyFont="1" applyAlignment="1">
      <alignment horizontal="center" vertical="center"/>
    </xf>
    <xf numFmtId="38" fontId="0" fillId="0" borderId="0" xfId="0" applyNumberFormat="1" applyFont="1" applyAlignment="1">
      <alignment horizontal="center" vertical="center" shrinkToFit="1"/>
    </xf>
    <xf numFmtId="0" fontId="0" fillId="0" borderId="0" xfId="0" applyFont="1" applyAlignment="1">
      <alignment vertical="center" shrinkToFit="1"/>
    </xf>
    <xf numFmtId="0" fontId="0" fillId="0" borderId="27" xfId="0" applyBorder="1" applyAlignment="1">
      <alignment vertical="center"/>
    </xf>
    <xf numFmtId="0" fontId="0" fillId="0" borderId="28"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0" fillId="0" borderId="11" xfId="0" applyBorder="1" applyAlignment="1">
      <alignment vertical="center" shrinkToFit="1"/>
    </xf>
    <xf numFmtId="0" fontId="0" fillId="0" borderId="11" xfId="0" applyBorder="1" applyAlignment="1">
      <alignment horizontal="left" vertical="center" shrinkToFit="1"/>
    </xf>
    <xf numFmtId="0" fontId="0" fillId="0" borderId="29" xfId="0" applyBorder="1" applyAlignment="1">
      <alignment horizontal="left" vertical="center" shrinkToFit="1"/>
    </xf>
    <xf numFmtId="0" fontId="0" fillId="0" borderId="29" xfId="0" applyBorder="1" applyAlignment="1">
      <alignment vertical="center"/>
    </xf>
    <xf numFmtId="0" fontId="0" fillId="0" borderId="0" xfId="0" applyBorder="1" applyAlignment="1">
      <alignment vertical="center"/>
    </xf>
    <xf numFmtId="0" fontId="0" fillId="0" borderId="26" xfId="0" applyBorder="1" applyAlignment="1">
      <alignment horizontal="center" vertical="center"/>
    </xf>
    <xf numFmtId="0" fontId="0" fillId="0" borderId="16" xfId="0" applyBorder="1" applyAlignment="1">
      <alignment vertical="center"/>
    </xf>
    <xf numFmtId="0" fontId="63" fillId="0" borderId="0" xfId="0" applyFont="1" applyAlignment="1" applyProtection="1">
      <alignment vertical="center"/>
      <protection/>
    </xf>
    <xf numFmtId="0" fontId="0" fillId="0" borderId="11"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17" xfId="0" applyBorder="1" applyAlignment="1">
      <alignment horizontal="center"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11" xfId="0" applyBorder="1" applyAlignment="1">
      <alignment horizontal="right" vertical="center"/>
    </xf>
    <xf numFmtId="38" fontId="42" fillId="0" borderId="27" xfId="0" applyNumberFormat="1" applyFont="1" applyBorder="1" applyAlignment="1">
      <alignment horizontal="right" vertical="center"/>
    </xf>
    <xf numFmtId="38" fontId="42" fillId="0" borderId="29" xfId="0" applyNumberFormat="1" applyFont="1" applyBorder="1" applyAlignment="1">
      <alignment horizontal="right" vertical="center"/>
    </xf>
    <xf numFmtId="0" fontId="0" fillId="0" borderId="0" xfId="0" applyFont="1" applyAlignment="1">
      <alignment vertical="center" shrinkToFit="1"/>
    </xf>
    <xf numFmtId="0" fontId="0" fillId="0" borderId="0" xfId="0" applyFont="1" applyAlignment="1">
      <alignment vertical="center"/>
    </xf>
    <xf numFmtId="177" fontId="0" fillId="0" borderId="0" xfId="0" applyNumberFormat="1" applyFont="1" applyAlignment="1">
      <alignment horizontal="center" vertical="center"/>
    </xf>
    <xf numFmtId="0" fontId="67" fillId="0" borderId="0" xfId="0" applyFont="1" applyAlignment="1">
      <alignment horizontal="center" vertical="center"/>
    </xf>
    <xf numFmtId="0" fontId="53" fillId="0" borderId="0" xfId="0" applyFont="1" applyAlignment="1">
      <alignment vertical="center"/>
    </xf>
    <xf numFmtId="0" fontId="63" fillId="0" borderId="0" xfId="0" applyFont="1" applyAlignment="1" applyProtection="1">
      <alignment/>
      <protection/>
    </xf>
    <xf numFmtId="0" fontId="68" fillId="0" borderId="0" xfId="0" applyFont="1" applyAlignment="1" applyProtection="1">
      <alignment vertical="center"/>
      <protection/>
    </xf>
    <xf numFmtId="0" fontId="58" fillId="19" borderId="11" xfId="0" applyFont="1" applyFill="1" applyBorder="1" applyAlignment="1" applyProtection="1">
      <alignment vertical="center" shrinkToFit="1"/>
      <protection/>
    </xf>
    <xf numFmtId="0" fontId="58" fillId="19" borderId="11" xfId="0" applyFont="1" applyFill="1" applyBorder="1" applyAlignment="1" applyProtection="1">
      <alignment horizontal="center" vertical="center"/>
      <protection/>
    </xf>
    <xf numFmtId="38" fontId="58" fillId="19" borderId="11" xfId="48" applyFont="1" applyFill="1" applyBorder="1" applyAlignment="1" applyProtection="1">
      <alignment horizontal="center" vertical="center"/>
      <protection/>
    </xf>
    <xf numFmtId="0" fontId="65" fillId="19" borderId="11" xfId="0" applyFont="1" applyFill="1" applyBorder="1" applyAlignment="1" applyProtection="1">
      <alignment horizontal="center" vertical="center"/>
      <protection/>
    </xf>
    <xf numFmtId="38" fontId="65" fillId="19" borderId="11" xfId="48" applyFont="1" applyFill="1" applyBorder="1" applyAlignment="1" applyProtection="1">
      <alignment horizontal="center" vertical="center" wrapText="1"/>
      <protection/>
    </xf>
    <xf numFmtId="38" fontId="58" fillId="34" borderId="11" xfId="48" applyFont="1" applyFill="1" applyBorder="1" applyAlignment="1" applyProtection="1">
      <alignment vertical="center"/>
      <protection/>
    </xf>
    <xf numFmtId="38" fontId="0" fillId="0" borderId="12" xfId="0" applyNumberFormat="1" applyBorder="1" applyAlignment="1">
      <alignment vertical="center"/>
    </xf>
    <xf numFmtId="38" fontId="0" fillId="34" borderId="33" xfId="0" applyNumberFormat="1" applyFill="1" applyBorder="1" applyAlignment="1">
      <alignment vertical="center"/>
    </xf>
    <xf numFmtId="0" fontId="0" fillId="34" borderId="31" xfId="0" applyFill="1" applyBorder="1" applyAlignment="1">
      <alignment horizontal="right" vertical="center"/>
    </xf>
    <xf numFmtId="0" fontId="0" fillId="0" borderId="28" xfId="0" applyBorder="1" applyAlignment="1">
      <alignment horizontal="right" vertical="center"/>
    </xf>
    <xf numFmtId="0" fontId="58" fillId="12" borderId="11" xfId="0" applyFont="1" applyFill="1" applyBorder="1" applyAlignment="1" applyProtection="1">
      <alignment horizontal="center" vertical="center"/>
      <protection locked="0"/>
    </xf>
    <xf numFmtId="0" fontId="69" fillId="0" borderId="0" xfId="0" applyFont="1" applyAlignment="1">
      <alignment vertical="center"/>
    </xf>
    <xf numFmtId="0" fontId="70" fillId="0" borderId="0" xfId="0" applyFont="1" applyAlignment="1" applyProtection="1">
      <alignment vertical="center"/>
      <protection/>
    </xf>
    <xf numFmtId="0" fontId="66" fillId="36" borderId="28" xfId="0" applyFont="1" applyFill="1" applyBorder="1" applyAlignment="1">
      <alignment vertical="center"/>
    </xf>
    <xf numFmtId="0" fontId="0" fillId="36" borderId="11" xfId="0" applyFill="1" applyBorder="1" applyAlignment="1">
      <alignment vertical="center"/>
    </xf>
    <xf numFmtId="0" fontId="0" fillId="0" borderId="12" xfId="0" applyBorder="1" applyAlignment="1">
      <alignment vertical="center"/>
    </xf>
    <xf numFmtId="0" fontId="0" fillId="34" borderId="33" xfId="0" applyFill="1" applyBorder="1" applyAlignment="1">
      <alignment vertical="center"/>
    </xf>
    <xf numFmtId="38" fontId="58" fillId="36" borderId="11" xfId="48" applyFont="1" applyFill="1" applyBorder="1" applyAlignment="1" applyProtection="1">
      <alignment vertical="center"/>
      <protection/>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64" fillId="0" borderId="0" xfId="0" applyFont="1" applyAlignment="1">
      <alignment vertical="center"/>
    </xf>
    <xf numFmtId="38" fontId="0" fillId="0" borderId="0" xfId="48" applyFont="1" applyAlignment="1">
      <alignment vertical="center"/>
    </xf>
    <xf numFmtId="38" fontId="0" fillId="0" borderId="37" xfId="48"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71" fillId="37" borderId="33" xfId="0" applyFont="1" applyFill="1" applyBorder="1" applyAlignment="1" applyProtection="1">
      <alignment vertical="center"/>
      <protection locked="0"/>
    </xf>
    <xf numFmtId="0" fontId="0" fillId="0" borderId="0" xfId="0" applyFill="1" applyAlignment="1">
      <alignment vertical="center"/>
    </xf>
    <xf numFmtId="38" fontId="53" fillId="37" borderId="41" xfId="48" applyFont="1" applyFill="1" applyBorder="1" applyAlignment="1">
      <alignment vertical="center"/>
    </xf>
    <xf numFmtId="0" fontId="53" fillId="37" borderId="42" xfId="0" applyFont="1" applyFill="1" applyBorder="1" applyAlignment="1">
      <alignment vertical="center"/>
    </xf>
    <xf numFmtId="0" fontId="53" fillId="37" borderId="43" xfId="0" applyFont="1" applyFill="1" applyBorder="1" applyAlignment="1">
      <alignment vertical="center"/>
    </xf>
    <xf numFmtId="0" fontId="53" fillId="0" borderId="44" xfId="0" applyFont="1" applyFill="1" applyBorder="1" applyAlignment="1">
      <alignment vertical="center"/>
    </xf>
    <xf numFmtId="0" fontId="53" fillId="37" borderId="45" xfId="0" applyFont="1" applyFill="1" applyBorder="1" applyAlignment="1">
      <alignment vertical="center"/>
    </xf>
    <xf numFmtId="0" fontId="53" fillId="37" borderId="46" xfId="0" applyFont="1" applyFill="1" applyBorder="1" applyAlignment="1">
      <alignment vertical="center"/>
    </xf>
    <xf numFmtId="0" fontId="53" fillId="37" borderId="47" xfId="0" applyFont="1" applyFill="1" applyBorder="1" applyAlignment="1">
      <alignment vertical="center"/>
    </xf>
    <xf numFmtId="0" fontId="53" fillId="0" borderId="48" xfId="0" applyFont="1" applyFill="1" applyBorder="1" applyAlignment="1">
      <alignment vertical="center"/>
    </xf>
    <xf numFmtId="0" fontId="53" fillId="37" borderId="49" xfId="0" applyFont="1" applyFill="1" applyBorder="1" applyAlignment="1">
      <alignment vertical="center"/>
    </xf>
    <xf numFmtId="0" fontId="53" fillId="37" borderId="50" xfId="0" applyFont="1" applyFill="1" applyBorder="1" applyAlignment="1">
      <alignment vertical="center"/>
    </xf>
    <xf numFmtId="0" fontId="53" fillId="37" borderId="51" xfId="0" applyFont="1" applyFill="1" applyBorder="1" applyAlignment="1">
      <alignment vertical="center"/>
    </xf>
    <xf numFmtId="0" fontId="53" fillId="37" borderId="52" xfId="0" applyFont="1" applyFill="1" applyBorder="1" applyAlignment="1">
      <alignment vertical="center"/>
    </xf>
    <xf numFmtId="0" fontId="53" fillId="0" borderId="53" xfId="0" applyFont="1" applyBorder="1" applyAlignment="1">
      <alignment vertical="center"/>
    </xf>
    <xf numFmtId="0" fontId="53" fillId="0" borderId="54" xfId="0" applyFont="1" applyBorder="1" applyAlignment="1">
      <alignment vertical="center"/>
    </xf>
    <xf numFmtId="0" fontId="53" fillId="0" borderId="55" xfId="0" applyFont="1" applyBorder="1" applyAlignment="1">
      <alignment vertical="center"/>
    </xf>
    <xf numFmtId="0" fontId="53" fillId="38" borderId="56" xfId="0" applyFont="1" applyFill="1" applyBorder="1" applyAlignment="1">
      <alignment vertical="center"/>
    </xf>
    <xf numFmtId="177" fontId="0" fillId="38" borderId="31" xfId="0" applyNumberFormat="1" applyFont="1" applyFill="1" applyBorder="1" applyAlignment="1">
      <alignment horizontal="center" vertical="center"/>
    </xf>
    <xf numFmtId="0" fontId="0" fillId="38" borderId="31" xfId="0" applyFont="1" applyFill="1" applyBorder="1" applyAlignment="1">
      <alignment horizontal="center" vertical="center"/>
    </xf>
    <xf numFmtId="0" fontId="0" fillId="38" borderId="57" xfId="0" applyFont="1" applyFill="1" applyBorder="1" applyAlignment="1">
      <alignment horizontal="center" vertical="center"/>
    </xf>
    <xf numFmtId="0" fontId="0" fillId="38" borderId="39" xfId="0" applyFont="1" applyFill="1" applyBorder="1" applyAlignment="1">
      <alignment vertical="center"/>
    </xf>
    <xf numFmtId="3" fontId="53" fillId="38" borderId="0" xfId="0" applyNumberFormat="1" applyFont="1" applyFill="1" applyBorder="1" applyAlignment="1">
      <alignment horizontal="center" vertical="center"/>
    </xf>
    <xf numFmtId="3" fontId="53" fillId="38" borderId="52" xfId="0" applyNumberFormat="1" applyFont="1" applyFill="1" applyBorder="1" applyAlignment="1">
      <alignment horizontal="center" vertical="center"/>
    </xf>
    <xf numFmtId="0" fontId="53" fillId="38" borderId="0" xfId="0" applyFont="1" applyFill="1" applyBorder="1" applyAlignment="1">
      <alignment vertical="center"/>
    </xf>
    <xf numFmtId="0" fontId="53" fillId="38" borderId="52" xfId="0" applyFont="1" applyFill="1" applyBorder="1" applyAlignment="1">
      <alignment vertical="center"/>
    </xf>
    <xf numFmtId="0" fontId="0" fillId="38" borderId="58" xfId="0" applyFont="1" applyFill="1" applyBorder="1" applyAlignment="1">
      <alignment vertical="center"/>
    </xf>
    <xf numFmtId="0" fontId="53" fillId="38" borderId="37" xfId="0" applyFont="1" applyFill="1" applyBorder="1" applyAlignment="1">
      <alignment vertical="center"/>
    </xf>
    <xf numFmtId="0" fontId="53" fillId="38" borderId="55" xfId="0" applyFont="1" applyFill="1" applyBorder="1" applyAlignment="1">
      <alignment vertical="center"/>
    </xf>
    <xf numFmtId="0" fontId="0" fillId="0" borderId="0" xfId="0" applyFont="1" applyBorder="1" applyAlignment="1" applyProtection="1">
      <alignment vertical="center"/>
      <protection/>
    </xf>
    <xf numFmtId="0" fontId="72" fillId="0" borderId="0" xfId="0" applyFont="1" applyFill="1" applyBorder="1" applyAlignment="1" applyProtection="1">
      <alignment horizontal="center" vertical="center"/>
      <protection/>
    </xf>
    <xf numFmtId="0" fontId="72" fillId="0" borderId="0" xfId="0" applyFont="1" applyFill="1" applyBorder="1" applyAlignment="1" applyProtection="1">
      <alignment vertical="center"/>
      <protection/>
    </xf>
    <xf numFmtId="3" fontId="0" fillId="38" borderId="0" xfId="0" applyNumberFormat="1" applyFont="1" applyFill="1" applyBorder="1" applyAlignment="1">
      <alignment vertical="center"/>
    </xf>
    <xf numFmtId="3" fontId="0" fillId="38" borderId="0" xfId="0" applyNumberFormat="1" applyFont="1" applyFill="1" applyBorder="1" applyAlignment="1">
      <alignment horizontal="right" vertical="center"/>
    </xf>
    <xf numFmtId="3" fontId="0" fillId="38" borderId="37" xfId="0" applyNumberFormat="1" applyFont="1" applyFill="1" applyBorder="1" applyAlignment="1">
      <alignment vertical="center"/>
    </xf>
    <xf numFmtId="178" fontId="53" fillId="38" borderId="0" xfId="0" applyNumberFormat="1" applyFont="1" applyFill="1" applyBorder="1" applyAlignment="1">
      <alignment horizontal="center" vertical="center"/>
    </xf>
    <xf numFmtId="178" fontId="0" fillId="38" borderId="0" xfId="42" applyNumberFormat="1" applyFont="1" applyFill="1" applyBorder="1" applyAlignment="1">
      <alignment horizontal="center" vertical="center"/>
    </xf>
    <xf numFmtId="3" fontId="0" fillId="38" borderId="0" xfId="0" applyNumberFormat="1" applyFont="1" applyFill="1" applyBorder="1" applyAlignment="1">
      <alignment horizontal="center" vertical="center"/>
    </xf>
    <xf numFmtId="3" fontId="0" fillId="38" borderId="52" xfId="0" applyNumberFormat="1" applyFont="1" applyFill="1" applyBorder="1" applyAlignment="1">
      <alignment horizontal="center" vertical="center"/>
    </xf>
    <xf numFmtId="0" fontId="73" fillId="0" borderId="0" xfId="0" applyFont="1" applyAlignment="1" applyProtection="1">
      <alignment horizontal="center" vertical="center"/>
      <protection/>
    </xf>
    <xf numFmtId="38" fontId="74" fillId="0" borderId="0" xfId="48" applyFont="1" applyBorder="1" applyAlignment="1" applyProtection="1">
      <alignment horizontal="center" vertical="center"/>
      <protection/>
    </xf>
    <xf numFmtId="0" fontId="61" fillId="0" borderId="0" xfId="0" applyFont="1" applyAlignment="1">
      <alignment horizontal="center" vertical="center"/>
    </xf>
    <xf numFmtId="38" fontId="0" fillId="0" borderId="0" xfId="48" applyFont="1" applyAlignment="1">
      <alignment horizontal="center" vertical="center"/>
    </xf>
    <xf numFmtId="38" fontId="59" fillId="0" borderId="34" xfId="48" applyFont="1" applyBorder="1" applyAlignment="1" applyProtection="1">
      <alignment horizontal="left" vertical="center"/>
      <protection/>
    </xf>
    <xf numFmtId="38" fontId="64" fillId="0" borderId="0" xfId="48" applyFont="1" applyBorder="1" applyAlignment="1" applyProtection="1">
      <alignment horizontal="left" vertical="center"/>
      <protection/>
    </xf>
    <xf numFmtId="38" fontId="62" fillId="34" borderId="59" xfId="48" applyFont="1" applyFill="1" applyBorder="1" applyAlignment="1" applyProtection="1">
      <alignment horizontal="right" vertical="center"/>
      <protection/>
    </xf>
    <xf numFmtId="38" fontId="62" fillId="34" borderId="41" xfId="48" applyFont="1" applyFill="1" applyBorder="1" applyAlignment="1" applyProtection="1">
      <alignment horizontal="right" vertical="center"/>
      <protection/>
    </xf>
    <xf numFmtId="38" fontId="58" fillId="34" borderId="59" xfId="48" applyFont="1" applyFill="1" applyBorder="1" applyAlignment="1" applyProtection="1">
      <alignment horizontal="right" vertical="center"/>
      <protection/>
    </xf>
    <xf numFmtId="38" fontId="58" fillId="34" borderId="41" xfId="48" applyFont="1" applyFill="1" applyBorder="1" applyAlignment="1" applyProtection="1">
      <alignment horizontal="right" vertical="center"/>
      <protection/>
    </xf>
    <xf numFmtId="38" fontId="64" fillId="0" borderId="0" xfId="48" applyFont="1" applyBorder="1" applyAlignment="1" applyProtection="1">
      <alignment horizontal="left" vertical="center" wrapText="1"/>
      <protection/>
    </xf>
    <xf numFmtId="38" fontId="65" fillId="0" borderId="0" xfId="48" applyFont="1" applyBorder="1" applyAlignment="1" applyProtection="1">
      <alignment horizontal="left" vertical="center" wrapText="1"/>
      <protection/>
    </xf>
    <xf numFmtId="0" fontId="70" fillId="0" borderId="0" xfId="0" applyFont="1" applyAlignment="1" applyProtection="1">
      <alignment horizontal="left"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38" fontId="0" fillId="0" borderId="28" xfId="48" applyFont="1" applyBorder="1" applyAlignment="1">
      <alignment horizontal="center" vertical="center"/>
    </xf>
    <xf numFmtId="38" fontId="0" fillId="0" borderId="29" xfId="48" applyFont="1" applyBorder="1" applyAlignment="1">
      <alignment horizontal="center" vertical="center"/>
    </xf>
    <xf numFmtId="38" fontId="0" fillId="0" borderId="27" xfId="48" applyFont="1" applyBorder="1" applyAlignment="1">
      <alignment horizontal="center" vertical="center"/>
    </xf>
    <xf numFmtId="0" fontId="0" fillId="0" borderId="11" xfId="0" applyBorder="1" applyAlignment="1">
      <alignment horizontal="left" vertical="center"/>
    </xf>
    <xf numFmtId="0" fontId="0" fillId="0" borderId="60" xfId="0" applyBorder="1" applyAlignment="1">
      <alignment horizontal="center" vertical="center"/>
    </xf>
    <xf numFmtId="0" fontId="0" fillId="0" borderId="12" xfId="0" applyFont="1" applyBorder="1" applyAlignment="1" applyProtection="1">
      <alignment horizontal="left" vertical="center"/>
      <protection hidden="1"/>
    </xf>
    <xf numFmtId="0" fontId="0" fillId="0" borderId="13"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0" fillId="0" borderId="12" xfId="0" applyFont="1" applyBorder="1" applyAlignment="1" applyProtection="1">
      <alignment horizontal="left" vertical="top" wrapText="1" shrinkToFit="1"/>
      <protection hidden="1"/>
    </xf>
    <xf numFmtId="0" fontId="0" fillId="0" borderId="13" xfId="0" applyFont="1" applyBorder="1" applyAlignment="1" applyProtection="1">
      <alignment horizontal="left" vertical="top" shrinkToFit="1"/>
      <protection hidden="1"/>
    </xf>
    <xf numFmtId="0" fontId="0" fillId="0" borderId="14" xfId="0" applyFont="1" applyBorder="1" applyAlignment="1" applyProtection="1">
      <alignment horizontal="left" vertical="top" shrinkToFit="1"/>
      <protection hidden="1"/>
    </xf>
    <xf numFmtId="0" fontId="0" fillId="34" borderId="13" xfId="0" applyFill="1" applyBorder="1" applyAlignment="1" applyProtection="1">
      <alignment horizontal="center" vertical="center"/>
      <protection hidden="1" locked="0"/>
    </xf>
    <xf numFmtId="0" fontId="0" fillId="34" borderId="14" xfId="0" applyFill="1" applyBorder="1" applyAlignment="1" applyProtection="1">
      <alignment horizontal="center" vertical="center"/>
      <protection hidden="1" locked="0"/>
    </xf>
    <xf numFmtId="0" fontId="0" fillId="0" borderId="0" xfId="0" applyAlignment="1" applyProtection="1">
      <alignment horizontal="center" vertical="center"/>
      <protection hidden="1"/>
    </xf>
    <xf numFmtId="176" fontId="0" fillId="34" borderId="12" xfId="0" applyNumberFormat="1" applyFill="1" applyBorder="1" applyAlignment="1" applyProtection="1">
      <alignment horizontal="center" vertical="center"/>
      <protection hidden="1" locked="0"/>
    </xf>
    <xf numFmtId="176" fontId="0" fillId="34" borderId="14" xfId="0" applyNumberFormat="1" applyFill="1" applyBorder="1" applyAlignment="1" applyProtection="1">
      <alignment horizontal="center" vertical="center"/>
      <protection hidden="1" locked="0"/>
    </xf>
    <xf numFmtId="0" fontId="0" fillId="0" borderId="11" xfId="0" applyBorder="1" applyAlignment="1" applyProtection="1">
      <alignment horizontal="left" vertical="center" wrapText="1"/>
      <protection hidden="1"/>
    </xf>
    <xf numFmtId="176" fontId="0" fillId="34" borderId="11" xfId="0" applyNumberFormat="1" applyFill="1" applyBorder="1" applyAlignment="1" applyProtection="1">
      <alignment horizontal="center" vertical="center"/>
      <protection hidden="1" locked="0"/>
    </xf>
    <xf numFmtId="0" fontId="0" fillId="0" borderId="0" xfId="0" applyAlignment="1">
      <alignment horizontal="left" vertical="center" shrinkToFi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24</xdr:row>
      <xdr:rowOff>276225</xdr:rowOff>
    </xdr:from>
    <xdr:to>
      <xdr:col>5</xdr:col>
      <xdr:colOff>1400175</xdr:colOff>
      <xdr:row>25</xdr:row>
      <xdr:rowOff>514350</xdr:rowOff>
    </xdr:to>
    <xdr:sp>
      <xdr:nvSpPr>
        <xdr:cNvPr id="1" name="ストライプ矢印 2"/>
        <xdr:cNvSpPr>
          <a:spLocks/>
        </xdr:cNvSpPr>
      </xdr:nvSpPr>
      <xdr:spPr>
        <a:xfrm>
          <a:off x="5953125" y="6667500"/>
          <a:ext cx="590550" cy="571500"/>
        </a:xfrm>
        <a:custGeom>
          <a:pathLst>
            <a:path h="577850" w="615950">
              <a:moveTo>
                <a:pt x="0" y="144463"/>
              </a:moveTo>
              <a:lnTo>
                <a:pt x="18058" y="144463"/>
              </a:lnTo>
              <a:lnTo>
                <a:pt x="18058" y="433388"/>
              </a:lnTo>
              <a:lnTo>
                <a:pt x="0" y="433388"/>
              </a:lnTo>
              <a:lnTo>
                <a:pt x="0" y="144463"/>
              </a:lnTo>
              <a:close/>
              <a:moveTo>
                <a:pt x="0" y="144463"/>
              </a:moveTo>
              <a:lnTo>
                <a:pt x="36116" y="144463"/>
              </a:lnTo>
              <a:lnTo>
                <a:pt x="72231" y="144463"/>
              </a:lnTo>
              <a:lnTo>
                <a:pt x="72231" y="433388"/>
              </a:lnTo>
              <a:lnTo>
                <a:pt x="36116" y="433388"/>
              </a:lnTo>
              <a:close/>
              <a:moveTo>
                <a:pt x="36116" y="433388"/>
              </a:moveTo>
              <a:lnTo>
                <a:pt x="36116" y="144463"/>
              </a:lnTo>
              <a:lnTo>
                <a:pt x="90289" y="144463"/>
              </a:lnTo>
              <a:lnTo>
                <a:pt x="327025" y="144463"/>
              </a:lnTo>
              <a:lnTo>
                <a:pt x="327025" y="0"/>
              </a:lnTo>
              <a:lnTo>
                <a:pt x="615950" y="288925"/>
              </a:lnTo>
              <a:lnTo>
                <a:pt x="327025" y="577850"/>
              </a:lnTo>
              <a:lnTo>
                <a:pt x="327025" y="433388"/>
              </a:ln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38100</xdr:colOff>
      <xdr:row>3</xdr:row>
      <xdr:rowOff>190500</xdr:rowOff>
    </xdr:from>
    <xdr:to>
      <xdr:col>13</xdr:col>
      <xdr:colOff>238125</xdr:colOff>
      <xdr:row>7</xdr:row>
      <xdr:rowOff>219075</xdr:rowOff>
    </xdr:to>
    <xdr:sp macro="[0]!Macro333">
      <xdr:nvSpPr>
        <xdr:cNvPr id="2" name="額縁 4"/>
        <xdr:cNvSpPr>
          <a:spLocks/>
        </xdr:cNvSpPr>
      </xdr:nvSpPr>
      <xdr:spPr>
        <a:xfrm>
          <a:off x="9858375" y="971550"/>
          <a:ext cx="1543050" cy="1038225"/>
        </a:xfrm>
        <a:prstGeom prst="bevel">
          <a:avLst/>
        </a:prstGeom>
        <a:solidFill>
          <a:srgbClr val="92D05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FFFFFF"/>
              </a:solidFill>
            </a:rPr>
            <a:t>入力データリセット</a:t>
          </a:r>
        </a:p>
      </xdr:txBody>
    </xdr:sp>
    <xdr:clientData/>
  </xdr:twoCellAnchor>
  <xdr:twoCellAnchor>
    <xdr:from>
      <xdr:col>11</xdr:col>
      <xdr:colOff>57150</xdr:colOff>
      <xdr:row>9</xdr:row>
      <xdr:rowOff>200025</xdr:rowOff>
    </xdr:from>
    <xdr:to>
      <xdr:col>13</xdr:col>
      <xdr:colOff>238125</xdr:colOff>
      <xdr:row>12</xdr:row>
      <xdr:rowOff>171450</xdr:rowOff>
    </xdr:to>
    <xdr:sp macro="[0]!印刷">
      <xdr:nvSpPr>
        <xdr:cNvPr id="3" name="額縁 5"/>
        <xdr:cNvSpPr>
          <a:spLocks/>
        </xdr:cNvSpPr>
      </xdr:nvSpPr>
      <xdr:spPr>
        <a:xfrm>
          <a:off x="9877425" y="2428875"/>
          <a:ext cx="1524000" cy="628650"/>
        </a:xfrm>
        <a:prstGeom prst="bevel">
          <a:avLst/>
        </a:prstGeom>
        <a:solidFill>
          <a:srgbClr val="92D05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rPr>
            <a:t>印刷</a:t>
          </a:r>
        </a:p>
      </xdr:txBody>
    </xdr:sp>
    <xdr:clientData/>
  </xdr:twoCellAnchor>
  <xdr:twoCellAnchor>
    <xdr:from>
      <xdr:col>1</xdr:col>
      <xdr:colOff>123825</xdr:colOff>
      <xdr:row>24</xdr:row>
      <xdr:rowOff>247650</xdr:rowOff>
    </xdr:from>
    <xdr:to>
      <xdr:col>5</xdr:col>
      <xdr:colOff>647700</xdr:colOff>
      <xdr:row>26</xdr:row>
      <xdr:rowOff>85725</xdr:rowOff>
    </xdr:to>
    <xdr:sp>
      <xdr:nvSpPr>
        <xdr:cNvPr id="4" name="正方形/長方形 3"/>
        <xdr:cNvSpPr>
          <a:spLocks/>
        </xdr:cNvSpPr>
      </xdr:nvSpPr>
      <xdr:spPr>
        <a:xfrm>
          <a:off x="381000" y="6638925"/>
          <a:ext cx="5419725" cy="704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200" b="1" i="0" u="none" baseline="0">
              <a:solidFill>
                <a:srgbClr val="000000"/>
              </a:solidFill>
            </a:rPr>
            <a:t>１年間加入した場合の国民健康保険税試算額</a:t>
          </a:r>
          <a:r>
            <a:rPr lang="en-US" cap="none" sz="22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1695450</xdr:colOff>
      <xdr:row>2</xdr:row>
      <xdr:rowOff>19050</xdr:rowOff>
    </xdr:from>
    <xdr:to>
      <xdr:col>6</xdr:col>
      <xdr:colOff>342900</xdr:colOff>
      <xdr:row>3</xdr:row>
      <xdr:rowOff>9525</xdr:rowOff>
    </xdr:to>
    <xdr:sp>
      <xdr:nvSpPr>
        <xdr:cNvPr id="1" name="正方形/長方形 1"/>
        <xdr:cNvSpPr>
          <a:spLocks/>
        </xdr:cNvSpPr>
      </xdr:nvSpPr>
      <xdr:spPr>
        <a:xfrm>
          <a:off x="5086350" y="447675"/>
          <a:ext cx="723900" cy="257175"/>
        </a:xfrm>
        <a:prstGeom prst="rect">
          <a:avLst/>
        </a:prstGeom>
        <a:solidFill>
          <a:srgbClr val="00B0F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xdr:row>
      <xdr:rowOff>0</xdr:rowOff>
    </xdr:from>
    <xdr:to>
      <xdr:col>3</xdr:col>
      <xdr:colOff>0</xdr:colOff>
      <xdr:row>2</xdr:row>
      <xdr:rowOff>257175</xdr:rowOff>
    </xdr:to>
    <xdr:sp>
      <xdr:nvSpPr>
        <xdr:cNvPr id="2" name="正方形/長方形 2"/>
        <xdr:cNvSpPr>
          <a:spLocks/>
        </xdr:cNvSpPr>
      </xdr:nvSpPr>
      <xdr:spPr>
        <a:xfrm>
          <a:off x="895350" y="428625"/>
          <a:ext cx="752475" cy="257175"/>
        </a:xfrm>
        <a:prstGeom prst="rect">
          <a:avLst/>
        </a:pr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1695450</xdr:colOff>
      <xdr:row>2</xdr:row>
      <xdr:rowOff>19050</xdr:rowOff>
    </xdr:from>
    <xdr:to>
      <xdr:col>6</xdr:col>
      <xdr:colOff>342900</xdr:colOff>
      <xdr:row>3</xdr:row>
      <xdr:rowOff>9525</xdr:rowOff>
    </xdr:to>
    <xdr:sp>
      <xdr:nvSpPr>
        <xdr:cNvPr id="1" name="正方形/長方形 1"/>
        <xdr:cNvSpPr>
          <a:spLocks/>
        </xdr:cNvSpPr>
      </xdr:nvSpPr>
      <xdr:spPr>
        <a:xfrm>
          <a:off x="5086350" y="447675"/>
          <a:ext cx="723900" cy="257175"/>
        </a:xfrm>
        <a:prstGeom prst="rect">
          <a:avLst/>
        </a:prstGeom>
        <a:solidFill>
          <a:srgbClr val="00B0F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xdr:row>
      <xdr:rowOff>0</xdr:rowOff>
    </xdr:from>
    <xdr:to>
      <xdr:col>3</xdr:col>
      <xdr:colOff>0</xdr:colOff>
      <xdr:row>2</xdr:row>
      <xdr:rowOff>257175</xdr:rowOff>
    </xdr:to>
    <xdr:sp>
      <xdr:nvSpPr>
        <xdr:cNvPr id="2" name="正方形/長方形 2"/>
        <xdr:cNvSpPr>
          <a:spLocks/>
        </xdr:cNvSpPr>
      </xdr:nvSpPr>
      <xdr:spPr>
        <a:xfrm>
          <a:off x="895350" y="428625"/>
          <a:ext cx="752475" cy="257175"/>
        </a:xfrm>
        <a:prstGeom prst="rect">
          <a:avLst/>
        </a:pr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1695450</xdr:colOff>
      <xdr:row>2</xdr:row>
      <xdr:rowOff>19050</xdr:rowOff>
    </xdr:from>
    <xdr:to>
      <xdr:col>6</xdr:col>
      <xdr:colOff>342900</xdr:colOff>
      <xdr:row>3</xdr:row>
      <xdr:rowOff>9525</xdr:rowOff>
    </xdr:to>
    <xdr:sp>
      <xdr:nvSpPr>
        <xdr:cNvPr id="1" name="正方形/長方形 1"/>
        <xdr:cNvSpPr>
          <a:spLocks/>
        </xdr:cNvSpPr>
      </xdr:nvSpPr>
      <xdr:spPr>
        <a:xfrm>
          <a:off x="5086350" y="447675"/>
          <a:ext cx="723900" cy="257175"/>
        </a:xfrm>
        <a:prstGeom prst="rect">
          <a:avLst/>
        </a:prstGeom>
        <a:solidFill>
          <a:srgbClr val="00B0F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xdr:row>
      <xdr:rowOff>0</xdr:rowOff>
    </xdr:from>
    <xdr:to>
      <xdr:col>3</xdr:col>
      <xdr:colOff>0</xdr:colOff>
      <xdr:row>2</xdr:row>
      <xdr:rowOff>257175</xdr:rowOff>
    </xdr:to>
    <xdr:sp>
      <xdr:nvSpPr>
        <xdr:cNvPr id="2" name="正方形/長方形 2"/>
        <xdr:cNvSpPr>
          <a:spLocks/>
        </xdr:cNvSpPr>
      </xdr:nvSpPr>
      <xdr:spPr>
        <a:xfrm>
          <a:off x="895350" y="428625"/>
          <a:ext cx="752475" cy="257175"/>
        </a:xfrm>
        <a:prstGeom prst="rect">
          <a:avLst/>
        </a:pr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1695450</xdr:colOff>
      <xdr:row>2</xdr:row>
      <xdr:rowOff>19050</xdr:rowOff>
    </xdr:from>
    <xdr:to>
      <xdr:col>6</xdr:col>
      <xdr:colOff>342900</xdr:colOff>
      <xdr:row>3</xdr:row>
      <xdr:rowOff>9525</xdr:rowOff>
    </xdr:to>
    <xdr:sp>
      <xdr:nvSpPr>
        <xdr:cNvPr id="1" name="正方形/長方形 1"/>
        <xdr:cNvSpPr>
          <a:spLocks/>
        </xdr:cNvSpPr>
      </xdr:nvSpPr>
      <xdr:spPr>
        <a:xfrm>
          <a:off x="5086350" y="447675"/>
          <a:ext cx="723900" cy="257175"/>
        </a:xfrm>
        <a:prstGeom prst="rect">
          <a:avLst/>
        </a:prstGeom>
        <a:solidFill>
          <a:srgbClr val="00B0F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xdr:row>
      <xdr:rowOff>0</xdr:rowOff>
    </xdr:from>
    <xdr:to>
      <xdr:col>3</xdr:col>
      <xdr:colOff>0</xdr:colOff>
      <xdr:row>2</xdr:row>
      <xdr:rowOff>257175</xdr:rowOff>
    </xdr:to>
    <xdr:sp>
      <xdr:nvSpPr>
        <xdr:cNvPr id="2" name="正方形/長方形 2"/>
        <xdr:cNvSpPr>
          <a:spLocks/>
        </xdr:cNvSpPr>
      </xdr:nvSpPr>
      <xdr:spPr>
        <a:xfrm>
          <a:off x="895350" y="428625"/>
          <a:ext cx="752475" cy="257175"/>
        </a:xfrm>
        <a:prstGeom prst="rect">
          <a:avLst/>
        </a:pr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1695450</xdr:colOff>
      <xdr:row>2</xdr:row>
      <xdr:rowOff>19050</xdr:rowOff>
    </xdr:from>
    <xdr:to>
      <xdr:col>6</xdr:col>
      <xdr:colOff>342900</xdr:colOff>
      <xdr:row>3</xdr:row>
      <xdr:rowOff>9525</xdr:rowOff>
    </xdr:to>
    <xdr:sp>
      <xdr:nvSpPr>
        <xdr:cNvPr id="1" name="正方形/長方形 1"/>
        <xdr:cNvSpPr>
          <a:spLocks/>
        </xdr:cNvSpPr>
      </xdr:nvSpPr>
      <xdr:spPr>
        <a:xfrm>
          <a:off x="5086350" y="447675"/>
          <a:ext cx="723900" cy="257175"/>
        </a:xfrm>
        <a:prstGeom prst="rect">
          <a:avLst/>
        </a:prstGeom>
        <a:solidFill>
          <a:srgbClr val="00B0F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xdr:row>
      <xdr:rowOff>0</xdr:rowOff>
    </xdr:from>
    <xdr:to>
      <xdr:col>3</xdr:col>
      <xdr:colOff>0</xdr:colOff>
      <xdr:row>2</xdr:row>
      <xdr:rowOff>257175</xdr:rowOff>
    </xdr:to>
    <xdr:sp>
      <xdr:nvSpPr>
        <xdr:cNvPr id="2" name="正方形/長方形 2"/>
        <xdr:cNvSpPr>
          <a:spLocks/>
        </xdr:cNvSpPr>
      </xdr:nvSpPr>
      <xdr:spPr>
        <a:xfrm>
          <a:off x="895350" y="428625"/>
          <a:ext cx="752475" cy="257175"/>
        </a:xfrm>
        <a:prstGeom prst="rect">
          <a:avLst/>
        </a:pr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1695450</xdr:colOff>
      <xdr:row>2</xdr:row>
      <xdr:rowOff>19050</xdr:rowOff>
    </xdr:from>
    <xdr:to>
      <xdr:col>6</xdr:col>
      <xdr:colOff>342900</xdr:colOff>
      <xdr:row>3</xdr:row>
      <xdr:rowOff>9525</xdr:rowOff>
    </xdr:to>
    <xdr:sp>
      <xdr:nvSpPr>
        <xdr:cNvPr id="1" name="正方形/長方形 1"/>
        <xdr:cNvSpPr>
          <a:spLocks/>
        </xdr:cNvSpPr>
      </xdr:nvSpPr>
      <xdr:spPr>
        <a:xfrm>
          <a:off x="5086350" y="447675"/>
          <a:ext cx="723900" cy="257175"/>
        </a:xfrm>
        <a:prstGeom prst="rect">
          <a:avLst/>
        </a:prstGeom>
        <a:solidFill>
          <a:srgbClr val="00B0F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xdr:row>
      <xdr:rowOff>0</xdr:rowOff>
    </xdr:from>
    <xdr:to>
      <xdr:col>3</xdr:col>
      <xdr:colOff>0</xdr:colOff>
      <xdr:row>2</xdr:row>
      <xdr:rowOff>257175</xdr:rowOff>
    </xdr:to>
    <xdr:sp>
      <xdr:nvSpPr>
        <xdr:cNvPr id="2" name="正方形/長方形 2"/>
        <xdr:cNvSpPr>
          <a:spLocks/>
        </xdr:cNvSpPr>
      </xdr:nvSpPr>
      <xdr:spPr>
        <a:xfrm>
          <a:off x="895350" y="428625"/>
          <a:ext cx="752475" cy="257175"/>
        </a:xfrm>
        <a:prstGeom prst="rect">
          <a:avLst/>
        </a:pr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1695450</xdr:colOff>
      <xdr:row>2</xdr:row>
      <xdr:rowOff>19050</xdr:rowOff>
    </xdr:from>
    <xdr:to>
      <xdr:col>6</xdr:col>
      <xdr:colOff>342900</xdr:colOff>
      <xdr:row>3</xdr:row>
      <xdr:rowOff>9525</xdr:rowOff>
    </xdr:to>
    <xdr:sp>
      <xdr:nvSpPr>
        <xdr:cNvPr id="1" name="正方形/長方形 1"/>
        <xdr:cNvSpPr>
          <a:spLocks/>
        </xdr:cNvSpPr>
      </xdr:nvSpPr>
      <xdr:spPr>
        <a:xfrm>
          <a:off x="5086350" y="447675"/>
          <a:ext cx="723900" cy="257175"/>
        </a:xfrm>
        <a:prstGeom prst="rect">
          <a:avLst/>
        </a:prstGeom>
        <a:solidFill>
          <a:srgbClr val="00B0F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xdr:row>
      <xdr:rowOff>0</xdr:rowOff>
    </xdr:from>
    <xdr:to>
      <xdr:col>3</xdr:col>
      <xdr:colOff>0</xdr:colOff>
      <xdr:row>2</xdr:row>
      <xdr:rowOff>257175</xdr:rowOff>
    </xdr:to>
    <xdr:sp>
      <xdr:nvSpPr>
        <xdr:cNvPr id="2" name="正方形/長方形 2"/>
        <xdr:cNvSpPr>
          <a:spLocks/>
        </xdr:cNvSpPr>
      </xdr:nvSpPr>
      <xdr:spPr>
        <a:xfrm>
          <a:off x="895350" y="428625"/>
          <a:ext cx="752475" cy="257175"/>
        </a:xfrm>
        <a:prstGeom prst="rect">
          <a:avLst/>
        </a:pr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Y58"/>
  <sheetViews>
    <sheetView showGridLines="0" tabSelected="1" view="pageBreakPreview" zoomScale="75" zoomScaleSheetLayoutView="75" zoomScalePageLayoutView="0" workbookViewId="0" topLeftCell="A13">
      <selection activeCell="C18" sqref="C18"/>
    </sheetView>
  </sheetViews>
  <sheetFormatPr defaultColWidth="9.00390625" defaultRowHeight="15"/>
  <cols>
    <col min="1" max="1" width="3.8515625" style="6" customWidth="1"/>
    <col min="2" max="2" width="14.28125" style="6" customWidth="1"/>
    <col min="3" max="3" width="15.7109375" style="6" customWidth="1"/>
    <col min="4" max="4" width="21.7109375" style="6" customWidth="1"/>
    <col min="5" max="7" width="21.7109375" style="31" customWidth="1"/>
    <col min="8" max="8" width="8.7109375" style="6" customWidth="1"/>
    <col min="9" max="9" width="11.28125" style="6" customWidth="1"/>
    <col min="10" max="10" width="3.28125" style="6" customWidth="1"/>
    <col min="11" max="11" width="3.28125" style="31" customWidth="1"/>
    <col min="12" max="12" width="2.421875" style="6" customWidth="1"/>
    <col min="13" max="13" width="17.7109375" style="6" customWidth="1"/>
    <col min="14" max="14" width="12.421875" style="6" customWidth="1"/>
    <col min="15" max="15" width="9.421875" style="6" hidden="1" customWidth="1"/>
    <col min="16" max="16" width="11.28125" style="6" hidden="1" customWidth="1"/>
    <col min="17" max="17" width="17.140625" style="6" hidden="1" customWidth="1"/>
    <col min="18" max="19" width="13.140625" style="6" hidden="1" customWidth="1"/>
    <col min="20" max="20" width="15.7109375" style="6" hidden="1" customWidth="1"/>
    <col min="21" max="21" width="14.00390625" style="6" hidden="1" customWidth="1"/>
    <col min="22" max="22" width="10.7109375" style="7" hidden="1" customWidth="1"/>
    <col min="23" max="23" width="11.00390625" style="7" hidden="1" customWidth="1"/>
    <col min="24" max="26" width="9.00390625" style="7" hidden="1" customWidth="1"/>
    <col min="27" max="30" width="9.00390625" style="7" customWidth="1"/>
    <col min="31" max="16384" width="9.00390625" style="7" customWidth="1"/>
  </cols>
  <sheetData>
    <row r="1" spans="1:20" ht="13.5" customHeight="1">
      <c r="A1" s="211" t="s">
        <v>259</v>
      </c>
      <c r="B1" s="211"/>
      <c r="C1" s="211"/>
      <c r="D1" s="211"/>
      <c r="E1" s="211"/>
      <c r="F1" s="211"/>
      <c r="G1" s="211"/>
      <c r="H1" s="211"/>
      <c r="I1" s="3"/>
      <c r="J1" s="3"/>
      <c r="K1" s="4"/>
      <c r="L1" s="5"/>
      <c r="M1" s="5"/>
      <c r="R1" s="27" t="s">
        <v>28</v>
      </c>
      <c r="S1" s="26"/>
      <c r="T1" s="6" t="s">
        <v>160</v>
      </c>
    </row>
    <row r="2" spans="1:19" ht="22.5" customHeight="1">
      <c r="A2" s="211"/>
      <c r="B2" s="211"/>
      <c r="C2" s="211"/>
      <c r="D2" s="211"/>
      <c r="E2" s="211"/>
      <c r="F2" s="211"/>
      <c r="G2" s="211"/>
      <c r="H2" s="211"/>
      <c r="I2" s="3"/>
      <c r="J2" s="3"/>
      <c r="K2" s="4"/>
      <c r="L2" s="5"/>
      <c r="M2" s="5"/>
      <c r="Q2" s="26" t="s">
        <v>232</v>
      </c>
      <c r="R2" s="5">
        <f>COUNTIF(D18:D24,"０～６歳")</f>
        <v>0</v>
      </c>
      <c r="S2" s="26"/>
    </row>
    <row r="3" spans="1:20" ht="25.5" customHeight="1">
      <c r="A3" s="211"/>
      <c r="B3" s="211"/>
      <c r="C3" s="211"/>
      <c r="D3" s="211"/>
      <c r="E3" s="211"/>
      <c r="F3" s="211"/>
      <c r="G3" s="211"/>
      <c r="H3" s="211"/>
      <c r="I3" s="3"/>
      <c r="J3" s="3"/>
      <c r="K3" s="4"/>
      <c r="L3" s="5"/>
      <c r="M3" s="5"/>
      <c r="Q3" s="26" t="s">
        <v>231</v>
      </c>
      <c r="R3" s="5">
        <f>COUNTIF(D18:D24,"７～３９歳")</f>
        <v>0</v>
      </c>
      <c r="S3" s="5"/>
      <c r="T3" s="6" t="s">
        <v>161</v>
      </c>
    </row>
    <row r="4" spans="1:20" ht="21" customHeight="1">
      <c r="A4" s="124"/>
      <c r="B4" s="124" t="s">
        <v>20</v>
      </c>
      <c r="C4" s="30"/>
      <c r="D4" s="124"/>
      <c r="E4" s="124"/>
      <c r="F4" s="124"/>
      <c r="G4" s="124"/>
      <c r="H4" s="124"/>
      <c r="I4" s="124"/>
      <c r="J4" s="9"/>
      <c r="K4" s="9"/>
      <c r="L4" s="9"/>
      <c r="M4" s="9"/>
      <c r="Q4" s="26" t="s">
        <v>24</v>
      </c>
      <c r="R4" s="5">
        <f>COUNTIF(D18:D24,"４０～６４歳")</f>
        <v>0</v>
      </c>
      <c r="S4" s="5"/>
      <c r="T4" s="6" t="s">
        <v>162</v>
      </c>
    </row>
    <row r="5" spans="1:19" ht="22.5" customHeight="1">
      <c r="A5" s="24" t="s">
        <v>12</v>
      </c>
      <c r="B5" s="24"/>
      <c r="C5" s="24"/>
      <c r="D5" s="24"/>
      <c r="E5" s="27"/>
      <c r="F5" s="27"/>
      <c r="G5" s="27"/>
      <c r="H5" s="24"/>
      <c r="I5" s="24"/>
      <c r="J5" s="5"/>
      <c r="K5" s="4"/>
      <c r="L5" s="5"/>
      <c r="M5" s="5"/>
      <c r="Q5" s="26" t="s">
        <v>25</v>
      </c>
      <c r="R5" s="5">
        <f>COUNTIF(D18:D24,"６５歳～")</f>
        <v>0</v>
      </c>
      <c r="S5" s="5"/>
    </row>
    <row r="6" spans="1:19" ht="18.75">
      <c r="A6" s="24" t="s">
        <v>163</v>
      </c>
      <c r="B6" s="24"/>
      <c r="C6" s="24"/>
      <c r="D6" s="24"/>
      <c r="E6" s="27"/>
      <c r="F6" s="27"/>
      <c r="G6" s="27"/>
      <c r="H6" s="24"/>
      <c r="I6" s="24"/>
      <c r="J6" s="5"/>
      <c r="K6" s="4"/>
      <c r="L6" s="5"/>
      <c r="M6" s="5"/>
      <c r="Q6" s="26" t="s">
        <v>33</v>
      </c>
      <c r="R6" s="5">
        <f>SUM(R2:R5)</f>
        <v>0</v>
      </c>
      <c r="S6" s="5"/>
    </row>
    <row r="7" spans="1:17" ht="17.25">
      <c r="A7" s="24" t="s">
        <v>164</v>
      </c>
      <c r="B7" s="24"/>
      <c r="C7" s="24"/>
      <c r="D7" s="24"/>
      <c r="E7" s="27"/>
      <c r="F7" s="27"/>
      <c r="G7" s="27"/>
      <c r="H7" s="24"/>
      <c r="I7" s="24"/>
      <c r="J7" s="5"/>
      <c r="K7" s="4"/>
      <c r="L7" s="5"/>
      <c r="M7" s="5"/>
      <c r="Q7" s="7"/>
    </row>
    <row r="8" spans="1:17" ht="17.25">
      <c r="A8" s="24" t="s">
        <v>152</v>
      </c>
      <c r="B8" s="24" t="s">
        <v>165</v>
      </c>
      <c r="C8" s="30"/>
      <c r="D8" s="24"/>
      <c r="E8" s="27"/>
      <c r="F8" s="27"/>
      <c r="G8" s="27"/>
      <c r="H8" s="24"/>
      <c r="I8" s="24"/>
      <c r="J8" s="5"/>
      <c r="K8" s="4"/>
      <c r="L8" s="5"/>
      <c r="M8" s="5"/>
      <c r="Q8" s="7"/>
    </row>
    <row r="9" spans="1:17" ht="17.25">
      <c r="A9" s="24" t="s">
        <v>210</v>
      </c>
      <c r="B9" s="24"/>
      <c r="C9" s="30"/>
      <c r="D9" s="24"/>
      <c r="E9" s="27"/>
      <c r="F9" s="27"/>
      <c r="G9" s="27"/>
      <c r="H9" s="24"/>
      <c r="I9" s="24"/>
      <c r="J9" s="5"/>
      <c r="K9" s="4"/>
      <c r="L9" s="5"/>
      <c r="M9" s="5"/>
      <c r="Q9" s="7"/>
    </row>
    <row r="10" spans="1:17" ht="17.25">
      <c r="A10" s="24" t="s">
        <v>211</v>
      </c>
      <c r="B10" s="24"/>
      <c r="C10" s="30"/>
      <c r="D10" s="24"/>
      <c r="E10" s="27"/>
      <c r="F10" s="27"/>
      <c r="G10" s="27"/>
      <c r="H10" s="24"/>
      <c r="I10" s="24"/>
      <c r="J10" s="5"/>
      <c r="K10" s="4"/>
      <c r="L10" s="5"/>
      <c r="M10" s="5"/>
      <c r="Q10" s="7"/>
    </row>
    <row r="11" spans="1:17" ht="17.25">
      <c r="A11" s="24"/>
      <c r="B11" s="143" t="s">
        <v>216</v>
      </c>
      <c r="C11" s="30"/>
      <c r="D11" s="24"/>
      <c r="E11" s="27"/>
      <c r="F11" s="27"/>
      <c r="G11" s="27"/>
      <c r="H11" s="24"/>
      <c r="I11" s="24"/>
      <c r="J11" s="5"/>
      <c r="K11" s="4"/>
      <c r="L11" s="5"/>
      <c r="M11" s="5"/>
      <c r="Q11" s="7"/>
    </row>
    <row r="12" spans="1:17" ht="17.25">
      <c r="A12" s="24"/>
      <c r="B12" s="143" t="s">
        <v>217</v>
      </c>
      <c r="C12" s="30"/>
      <c r="D12" s="24"/>
      <c r="E12" s="27"/>
      <c r="F12" s="27"/>
      <c r="G12" s="27"/>
      <c r="H12" s="24"/>
      <c r="I12" s="24"/>
      <c r="J12" s="5"/>
      <c r="K12" s="4"/>
      <c r="L12" s="5"/>
      <c r="M12" s="5"/>
      <c r="Q12" s="7"/>
    </row>
    <row r="13" spans="1:17" ht="18.75" customHeight="1">
      <c r="A13" s="24"/>
      <c r="B13" s="143" t="s">
        <v>218</v>
      </c>
      <c r="C13" s="24"/>
      <c r="D13" s="30"/>
      <c r="E13" s="27"/>
      <c r="F13" s="27"/>
      <c r="G13" s="27"/>
      <c r="H13" s="24"/>
      <c r="I13" s="24"/>
      <c r="J13" s="5"/>
      <c r="K13" s="4"/>
      <c r="L13" s="5"/>
      <c r="M13" s="5"/>
      <c r="Q13" s="7"/>
    </row>
    <row r="14" spans="1:13" ht="9.75" customHeight="1" hidden="1">
      <c r="A14" s="5"/>
      <c r="B14" s="5"/>
      <c r="C14" s="5"/>
      <c r="D14" s="7"/>
      <c r="E14" s="4"/>
      <c r="F14" s="4"/>
      <c r="G14" s="4"/>
      <c r="H14" s="5"/>
      <c r="I14" s="5"/>
      <c r="J14" s="5"/>
      <c r="K14" s="4"/>
      <c r="L14" s="5"/>
      <c r="M14" s="5"/>
    </row>
    <row r="15" spans="1:13" ht="18.75" customHeight="1">
      <c r="A15" s="24" t="s">
        <v>221</v>
      </c>
      <c r="B15" s="5"/>
      <c r="C15" s="5"/>
      <c r="D15" s="7"/>
      <c r="E15" s="4"/>
      <c r="F15" s="4"/>
      <c r="G15" s="4"/>
      <c r="H15" s="5"/>
      <c r="I15" s="5"/>
      <c r="J15" s="5"/>
      <c r="K15" s="4"/>
      <c r="L15" s="5"/>
      <c r="M15" s="5"/>
    </row>
    <row r="16" spans="1:13" ht="9.75" customHeight="1">
      <c r="A16" s="5"/>
      <c r="B16" s="5"/>
      <c r="C16" s="5"/>
      <c r="D16" s="7"/>
      <c r="E16" s="4"/>
      <c r="F16" s="10"/>
      <c r="G16" s="4"/>
      <c r="H16" s="5"/>
      <c r="I16" s="11"/>
      <c r="J16" s="11"/>
      <c r="K16" s="4"/>
      <c r="L16" s="5"/>
      <c r="M16" s="5"/>
    </row>
    <row r="17" spans="1:24" ht="18.75">
      <c r="A17" s="5"/>
      <c r="B17" s="73"/>
      <c r="C17" s="144" t="s">
        <v>255</v>
      </c>
      <c r="D17" s="145" t="s">
        <v>256</v>
      </c>
      <c r="E17" s="146" t="s">
        <v>190</v>
      </c>
      <c r="F17" s="146" t="s">
        <v>257</v>
      </c>
      <c r="G17" s="146" t="s">
        <v>4</v>
      </c>
      <c r="H17" s="147" t="s">
        <v>258</v>
      </c>
      <c r="I17" s="14"/>
      <c r="J17" s="4"/>
      <c r="K17" s="5"/>
      <c r="R17" s="6" t="s">
        <v>141</v>
      </c>
      <c r="S17" s="6" t="s">
        <v>30</v>
      </c>
      <c r="T17" s="6" t="s">
        <v>29</v>
      </c>
      <c r="U17" s="7" t="s">
        <v>202</v>
      </c>
      <c r="V17" s="7" t="s">
        <v>31</v>
      </c>
      <c r="W17" s="165" t="s">
        <v>251</v>
      </c>
      <c r="X17" s="7" t="s">
        <v>32</v>
      </c>
    </row>
    <row r="18" spans="1:24" s="2" customFormat="1" ht="30" customHeight="1">
      <c r="A18" s="15"/>
      <c r="B18" s="13" t="s">
        <v>5</v>
      </c>
      <c r="C18" s="154"/>
      <c r="D18" s="74"/>
      <c r="E18" s="75"/>
      <c r="F18" s="75"/>
      <c r="G18" s="75"/>
      <c r="H18" s="76"/>
      <c r="I18" s="16"/>
      <c r="J18" s="17"/>
      <c r="K18" s="15"/>
      <c r="N18" s="18"/>
      <c r="Q18" s="2" t="s">
        <v>5</v>
      </c>
      <c r="R18" s="81" t="str">
        <f>'加入者(1)'!$F$24</f>
        <v>0</v>
      </c>
      <c r="S18" s="82" t="str">
        <f aca="true" t="shared" si="0" ref="S18:S24">IF(H18="該当",R18*0.3,R18)</f>
        <v>0</v>
      </c>
      <c r="T18" s="28" t="b">
        <f>IF(D18="４０～６４歳",'加入者(1)'!F25)</f>
        <v>0</v>
      </c>
      <c r="U18" s="10" t="b">
        <f>IF(D18="６５歳～",'加入者(1)'!F25)</f>
        <v>0</v>
      </c>
      <c r="V18" s="29">
        <f aca="true" t="shared" si="1" ref="V18:V23">S18+T18+U18+G18</f>
        <v>0</v>
      </c>
      <c r="W18" s="11">
        <f>IF(V18&gt;=$T$48,V18-$T$48,0)</f>
        <v>0</v>
      </c>
      <c r="X18" s="11">
        <f aca="true" t="shared" si="2" ref="X18:X24">IF(D18="４０～６４歳",W18,0)</f>
        <v>0</v>
      </c>
    </row>
    <row r="19" spans="1:24" s="2" customFormat="1" ht="30" customHeight="1">
      <c r="A19" s="15"/>
      <c r="B19" s="13" t="s">
        <v>6</v>
      </c>
      <c r="C19" s="154"/>
      <c r="D19" s="74"/>
      <c r="E19" s="75"/>
      <c r="F19" s="75"/>
      <c r="G19" s="75"/>
      <c r="H19" s="76"/>
      <c r="I19" s="16"/>
      <c r="J19" s="17"/>
      <c r="K19" s="15"/>
      <c r="N19" s="18"/>
      <c r="Q19" s="2" t="s">
        <v>6</v>
      </c>
      <c r="R19" s="81" t="str">
        <f>'加入者(2)'!$F$24</f>
        <v>0</v>
      </c>
      <c r="S19" s="82" t="str">
        <f t="shared" si="0"/>
        <v>0</v>
      </c>
      <c r="T19" s="28" t="b">
        <f>IF(D19="４０～６４歳",'加入者(2)'!F25)</f>
        <v>0</v>
      </c>
      <c r="U19" s="10" t="b">
        <f>IF(D19="６５歳～",'加入者(2)'!F25)</f>
        <v>0</v>
      </c>
      <c r="V19" s="29">
        <f t="shared" si="1"/>
        <v>0</v>
      </c>
      <c r="W19" s="11">
        <f aca="true" t="shared" si="3" ref="W19:W24">IF(V19&gt;=$T$48,V19-$T$48,0)</f>
        <v>0</v>
      </c>
      <c r="X19" s="11">
        <f t="shared" si="2"/>
        <v>0</v>
      </c>
    </row>
    <row r="20" spans="1:24" s="2" customFormat="1" ht="30" customHeight="1">
      <c r="A20" s="15"/>
      <c r="B20" s="13" t="s">
        <v>7</v>
      </c>
      <c r="C20" s="154"/>
      <c r="D20" s="74"/>
      <c r="E20" s="75"/>
      <c r="F20" s="75"/>
      <c r="G20" s="75"/>
      <c r="H20" s="76"/>
      <c r="I20" s="16"/>
      <c r="J20" s="17"/>
      <c r="K20" s="15"/>
      <c r="N20" s="18"/>
      <c r="Q20" s="2" t="s">
        <v>7</v>
      </c>
      <c r="R20" s="81" t="str">
        <f>'加入者(3)'!$F$24</f>
        <v>0</v>
      </c>
      <c r="S20" s="82" t="str">
        <f t="shared" si="0"/>
        <v>0</v>
      </c>
      <c r="T20" s="28" t="b">
        <f>IF(D20="４０～６４歳",'加入者(3)'!F25)</f>
        <v>0</v>
      </c>
      <c r="U20" s="10" t="b">
        <f>IF(D20="６５歳～",'加入者(3)'!F25)</f>
        <v>0</v>
      </c>
      <c r="V20" s="29">
        <f t="shared" si="1"/>
        <v>0</v>
      </c>
      <c r="W20" s="11">
        <f t="shared" si="3"/>
        <v>0</v>
      </c>
      <c r="X20" s="11">
        <f t="shared" si="2"/>
        <v>0</v>
      </c>
    </row>
    <row r="21" spans="1:24" s="2" customFormat="1" ht="30" customHeight="1">
      <c r="A21" s="15"/>
      <c r="B21" s="13" t="s">
        <v>8</v>
      </c>
      <c r="C21" s="154"/>
      <c r="D21" s="74"/>
      <c r="E21" s="75"/>
      <c r="F21" s="75"/>
      <c r="G21" s="75"/>
      <c r="H21" s="76"/>
      <c r="I21" s="16"/>
      <c r="J21" s="17"/>
      <c r="K21" s="15"/>
      <c r="N21" s="18"/>
      <c r="Q21" s="2" t="s">
        <v>8</v>
      </c>
      <c r="R21" s="81" t="str">
        <f>'加入者(4)'!$F$24</f>
        <v>0</v>
      </c>
      <c r="S21" s="82" t="str">
        <f t="shared" si="0"/>
        <v>0</v>
      </c>
      <c r="T21" s="28" t="b">
        <f>IF(D21="４０～６４歳",'加入者(4)'!F25)</f>
        <v>0</v>
      </c>
      <c r="U21" s="10" t="b">
        <f>IF(D21="６５歳～",'加入者(4)'!F25)</f>
        <v>0</v>
      </c>
      <c r="V21" s="29">
        <f t="shared" si="1"/>
        <v>0</v>
      </c>
      <c r="W21" s="11">
        <f t="shared" si="3"/>
        <v>0</v>
      </c>
      <c r="X21" s="11">
        <f t="shared" si="2"/>
        <v>0</v>
      </c>
    </row>
    <row r="22" spans="1:24" s="2" customFormat="1" ht="30" customHeight="1">
      <c r="A22" s="15"/>
      <c r="B22" s="13" t="s">
        <v>9</v>
      </c>
      <c r="C22" s="154"/>
      <c r="D22" s="74"/>
      <c r="E22" s="75"/>
      <c r="F22" s="75"/>
      <c r="G22" s="75"/>
      <c r="H22" s="76"/>
      <c r="I22" s="16"/>
      <c r="J22" s="17"/>
      <c r="K22" s="15"/>
      <c r="N22" s="18"/>
      <c r="Q22" s="2" t="s">
        <v>9</v>
      </c>
      <c r="R22" s="81" t="str">
        <f>'加入者(5)'!$F$24</f>
        <v>0</v>
      </c>
      <c r="S22" s="82" t="str">
        <f t="shared" si="0"/>
        <v>0</v>
      </c>
      <c r="T22" s="28" t="b">
        <f>IF(D22="４０～６４歳",'加入者(5)'!F25)</f>
        <v>0</v>
      </c>
      <c r="U22" s="10" t="b">
        <f>IF(D22="６５歳～",'加入者(5)'!F25)</f>
        <v>0</v>
      </c>
      <c r="V22" s="29">
        <f t="shared" si="1"/>
        <v>0</v>
      </c>
      <c r="W22" s="11">
        <f t="shared" si="3"/>
        <v>0</v>
      </c>
      <c r="X22" s="11">
        <f t="shared" si="2"/>
        <v>0</v>
      </c>
    </row>
    <row r="23" spans="1:24" s="2" customFormat="1" ht="30" customHeight="1">
      <c r="A23" s="15"/>
      <c r="B23" s="13" t="s">
        <v>10</v>
      </c>
      <c r="C23" s="154"/>
      <c r="D23" s="74"/>
      <c r="E23" s="75"/>
      <c r="F23" s="75"/>
      <c r="G23" s="75"/>
      <c r="H23" s="76"/>
      <c r="I23" s="16"/>
      <c r="J23" s="17"/>
      <c r="K23" s="15"/>
      <c r="N23" s="18"/>
      <c r="Q23" s="2" t="s">
        <v>10</v>
      </c>
      <c r="R23" s="81" t="str">
        <f>'加入者(6)'!$F$24</f>
        <v>0</v>
      </c>
      <c r="S23" s="82" t="str">
        <f t="shared" si="0"/>
        <v>0</v>
      </c>
      <c r="T23" s="28" t="b">
        <f>IF(D23="４０～６４歳",'加入者(6)'!F25)</f>
        <v>0</v>
      </c>
      <c r="U23" s="10" t="b">
        <f>IF(D23="６５歳～",'加入者(6)'!F25)</f>
        <v>0</v>
      </c>
      <c r="V23" s="29">
        <f t="shared" si="1"/>
        <v>0</v>
      </c>
      <c r="W23" s="11">
        <f t="shared" si="3"/>
        <v>0</v>
      </c>
      <c r="X23" s="11">
        <f t="shared" si="2"/>
        <v>0</v>
      </c>
    </row>
    <row r="24" spans="1:24" s="2" customFormat="1" ht="30" customHeight="1">
      <c r="A24" s="15"/>
      <c r="B24" s="13" t="s">
        <v>11</v>
      </c>
      <c r="C24" s="154"/>
      <c r="D24" s="74"/>
      <c r="E24" s="75"/>
      <c r="F24" s="75"/>
      <c r="G24" s="75"/>
      <c r="H24" s="76"/>
      <c r="I24" s="16"/>
      <c r="J24" s="17"/>
      <c r="K24" s="15"/>
      <c r="N24" s="18"/>
      <c r="Q24" s="2" t="s">
        <v>11</v>
      </c>
      <c r="R24" s="81" t="str">
        <f>'加入者(7)'!$F$24</f>
        <v>0</v>
      </c>
      <c r="S24" s="82" t="str">
        <f t="shared" si="0"/>
        <v>0</v>
      </c>
      <c r="T24" s="28" t="b">
        <f>IF(D24="４０～６４歳",'加入者(7)'!F25)</f>
        <v>0</v>
      </c>
      <c r="U24" s="10" t="b">
        <f>IF(D24="６５歳～",'加入者(7)'!F25)</f>
        <v>0</v>
      </c>
      <c r="V24" s="29">
        <f>S24+T24+U24+G24</f>
        <v>0</v>
      </c>
      <c r="W24" s="11">
        <f t="shared" si="3"/>
        <v>0</v>
      </c>
      <c r="X24" s="6">
        <f t="shared" si="2"/>
        <v>0</v>
      </c>
    </row>
    <row r="25" spans="1:18" ht="26.25" customHeight="1" thickBot="1">
      <c r="A25" s="5"/>
      <c r="B25" s="5"/>
      <c r="C25" s="19"/>
      <c r="D25" s="20"/>
      <c r="E25" s="20"/>
      <c r="F25" s="20"/>
      <c r="G25" s="20"/>
      <c r="H25" s="20"/>
      <c r="I25" s="20"/>
      <c r="J25" s="20"/>
      <c r="K25" s="4"/>
      <c r="L25" s="5"/>
      <c r="M25" s="5"/>
      <c r="O25" s="21"/>
      <c r="Q25" s="2"/>
      <c r="R25" s="21"/>
    </row>
    <row r="26" spans="1:18" ht="42" thickBot="1">
      <c r="A26" s="5"/>
      <c r="B26" s="5"/>
      <c r="C26" s="212"/>
      <c r="D26" s="212"/>
      <c r="E26" s="212"/>
      <c r="F26" s="212"/>
      <c r="G26" s="217">
        <f>_xlfn.IFERROR(D33+E33+F33,"0")</f>
        <v>0</v>
      </c>
      <c r="H26" s="218"/>
      <c r="I26" s="77" t="s">
        <v>0</v>
      </c>
      <c r="J26" s="22"/>
      <c r="K26" s="4"/>
      <c r="L26" s="5"/>
      <c r="M26" s="5"/>
      <c r="R26" s="21"/>
    </row>
    <row r="27" spans="1:18" ht="13.5" thickBot="1">
      <c r="A27" s="5"/>
      <c r="B27" s="5"/>
      <c r="C27" s="5"/>
      <c r="D27" s="5"/>
      <c r="E27" s="4"/>
      <c r="F27" s="4"/>
      <c r="G27" s="4"/>
      <c r="H27" s="5"/>
      <c r="I27" s="11"/>
      <c r="J27" s="11"/>
      <c r="K27" s="23"/>
      <c r="L27" s="5"/>
      <c r="M27" s="5"/>
      <c r="R27" s="21"/>
    </row>
    <row r="28" spans="1:21" ht="33" customHeight="1" thickBot="1">
      <c r="A28" s="5"/>
      <c r="B28" s="5"/>
      <c r="C28" s="7"/>
      <c r="D28" s="5"/>
      <c r="E28" s="4"/>
      <c r="F28" s="25" t="s">
        <v>19</v>
      </c>
      <c r="G28" s="219">
        <f>IF(G26="","",G26/12)</f>
        <v>0</v>
      </c>
      <c r="H28" s="220"/>
      <c r="I28" s="78" t="s">
        <v>166</v>
      </c>
      <c r="J28" s="11"/>
      <c r="K28" s="221"/>
      <c r="L28" s="221"/>
      <c r="M28" s="221"/>
      <c r="R28" s="21"/>
      <c r="S28" s="99"/>
      <c r="T28" s="21"/>
      <c r="U28" s="21"/>
    </row>
    <row r="29" spans="1:19" ht="42" customHeight="1">
      <c r="A29" s="5"/>
      <c r="B29" s="5"/>
      <c r="C29" s="142" t="s">
        <v>209</v>
      </c>
      <c r="D29" s="5"/>
      <c r="E29" s="4"/>
      <c r="F29" s="222" t="s">
        <v>222</v>
      </c>
      <c r="G29" s="222"/>
      <c r="H29" s="222"/>
      <c r="I29" s="222"/>
      <c r="J29" s="33"/>
      <c r="K29" s="33"/>
      <c r="L29" s="33"/>
      <c r="M29" s="33"/>
      <c r="N29" s="33"/>
      <c r="R29" s="21"/>
      <c r="S29" s="99"/>
    </row>
    <row r="30" spans="1:19" s="1" customFormat="1" ht="28.5">
      <c r="A30" s="8"/>
      <c r="B30" s="8"/>
      <c r="C30" s="12"/>
      <c r="D30" s="147" t="s">
        <v>13</v>
      </c>
      <c r="E30" s="147" t="s">
        <v>14</v>
      </c>
      <c r="F30" s="148" t="s">
        <v>15</v>
      </c>
      <c r="S30" s="99"/>
    </row>
    <row r="31" spans="1:13" s="1" customFormat="1" ht="33.75" customHeight="1">
      <c r="A31" s="8"/>
      <c r="B31" s="8"/>
      <c r="C31" s="13" t="s">
        <v>1</v>
      </c>
      <c r="D31" s="161">
        <f>(W18+W19+W20+W21+W22+W23+W24)*T44</f>
        <v>0</v>
      </c>
      <c r="E31" s="161">
        <f>(W18+W19+W20+W21+W22+W23+W24)*T45</f>
        <v>0</v>
      </c>
      <c r="F31" s="161">
        <f>(X18+X19+X20+X21+X22+X23+X24)*T46</f>
        <v>0</v>
      </c>
      <c r="G31" s="215"/>
      <c r="H31" s="216"/>
      <c r="I31" s="216"/>
      <c r="J31" s="216"/>
      <c r="K31" s="216"/>
      <c r="L31" s="216"/>
      <c r="M31" s="104"/>
    </row>
    <row r="32" spans="1:19" s="1" customFormat="1" ht="30.75" customHeight="1">
      <c r="A32" s="8"/>
      <c r="B32" s="8"/>
      <c r="C32" s="13" t="s">
        <v>2</v>
      </c>
      <c r="D32" s="161">
        <f>IF(H35=7,R6*U44*0.3-Q46,IF(H35=5,R6*U44*0.5-Q46,IF(H35=2,R6*U44*0.8-Q46,IF(H35=0,R6*U44-Q46))))</f>
        <v>0</v>
      </c>
      <c r="E32" s="161">
        <f>IF(H35=7,R6*U45*0.3-Q47,IF(H35=5,R6*U45*0.5-Q47,IF(H35=2,R6*U45*0.8-Q47,IF(H35=0,R6*U45-Q47))))</f>
        <v>0</v>
      </c>
      <c r="F32" s="161">
        <f>IF(H35=7,R4*U46*0.3,IF(H35=5,R4*U46*0.5,IF(H35=2,R4*U46*0.8,IF(H35=0,R4*U46))))</f>
        <v>0</v>
      </c>
      <c r="G32" s="2"/>
      <c r="H32" s="8"/>
      <c r="I32" s="8"/>
      <c r="J32" s="8"/>
      <c r="K32" s="26"/>
      <c r="L32" s="8"/>
      <c r="M32" s="8"/>
      <c r="S32" s="99"/>
    </row>
    <row r="33" spans="1:19" s="1" customFormat="1" ht="30.75" customHeight="1">
      <c r="A33" s="8"/>
      <c r="B33" s="8"/>
      <c r="C33" s="13" t="s">
        <v>3</v>
      </c>
      <c r="D33" s="149">
        <f>IF(D31+D32&gt;=V44,V44,ROUNDDOWN((D31+D32),-2))</f>
        <v>0</v>
      </c>
      <c r="E33" s="149">
        <f>IF(E31+E32&gt;=V45,V45,ROUNDDOWN((E31+E32),-2))</f>
        <v>0</v>
      </c>
      <c r="F33" s="149">
        <f>IF(F31+F32&gt;=V46,V46,ROUNDDOWN((F31+F32),-2))</f>
        <v>0</v>
      </c>
      <c r="H33" s="8"/>
      <c r="I33" s="8"/>
      <c r="J33" s="8"/>
      <c r="K33" s="26"/>
      <c r="L33" s="8"/>
      <c r="M33" s="8"/>
      <c r="O33" s="1" t="s">
        <v>199</v>
      </c>
      <c r="P33" s="1" t="s">
        <v>254</v>
      </c>
      <c r="S33" s="99"/>
    </row>
    <row r="34" spans="1:25" ht="12.75">
      <c r="A34" s="5"/>
      <c r="B34" s="5"/>
      <c r="C34" s="5"/>
      <c r="D34" s="5"/>
      <c r="E34" s="4"/>
      <c r="F34" s="4"/>
      <c r="G34" s="4"/>
      <c r="H34" s="5"/>
      <c r="I34" s="5"/>
      <c r="J34" s="5"/>
      <c r="K34" s="4"/>
      <c r="L34" s="5"/>
      <c r="M34" s="5"/>
      <c r="S34" s="108" t="s">
        <v>190</v>
      </c>
      <c r="T34" s="109" t="s">
        <v>188</v>
      </c>
      <c r="U34" s="109" t="s">
        <v>189</v>
      </c>
      <c r="V34" s="137" t="s">
        <v>207</v>
      </c>
      <c r="W34" s="138" t="s">
        <v>208</v>
      </c>
      <c r="X34" s="137"/>
      <c r="Y34" s="137"/>
    </row>
    <row r="35" spans="1:23" ht="18.75">
      <c r="A35" s="24" t="s">
        <v>212</v>
      </c>
      <c r="B35" s="24"/>
      <c r="C35" s="24"/>
      <c r="D35" s="24"/>
      <c r="E35" s="27"/>
      <c r="F35" s="27"/>
      <c r="G35" s="202"/>
      <c r="H35" s="203"/>
      <c r="I35" s="201"/>
      <c r="J35" s="5"/>
      <c r="K35" s="4"/>
      <c r="L35" s="5"/>
      <c r="M35" s="5"/>
      <c r="O35" s="6" t="s">
        <v>5</v>
      </c>
      <c r="P35" s="103">
        <f aca="true" t="shared" si="4" ref="P35:P41">IF(D18="",0,1)</f>
        <v>0</v>
      </c>
      <c r="R35" s="6" t="s">
        <v>5</v>
      </c>
      <c r="S35" s="107" t="b">
        <f>IF(E18&gt;$T$49,"1")</f>
        <v>0</v>
      </c>
      <c r="T35" s="106" t="b">
        <f>IF(AND(D18="４０～６４歳",F18&gt;$T$51),"1")</f>
        <v>0</v>
      </c>
      <c r="U35" s="106" t="b">
        <f>IF(AND(D18="６５歳～",F18&gt;$T$50),"1")</f>
        <v>0</v>
      </c>
      <c r="V35" s="140">
        <f>SUM(S35+T35+U35)</f>
        <v>0</v>
      </c>
      <c r="W35" s="139">
        <f>IF(V35&gt;=1,"1",0)</f>
        <v>0</v>
      </c>
    </row>
    <row r="36" spans="1:23" ht="15.75">
      <c r="A36" s="24" t="s">
        <v>213</v>
      </c>
      <c r="B36" s="24"/>
      <c r="C36" s="24"/>
      <c r="D36" s="24"/>
      <c r="E36" s="27"/>
      <c r="F36" s="27"/>
      <c r="G36" s="4"/>
      <c r="H36" s="5"/>
      <c r="I36" s="5"/>
      <c r="J36" s="5"/>
      <c r="K36" s="4"/>
      <c r="L36" s="5"/>
      <c r="M36" s="5"/>
      <c r="O36" s="6" t="s">
        <v>6</v>
      </c>
      <c r="P36" s="103">
        <f t="shared" si="4"/>
        <v>0</v>
      </c>
      <c r="R36" s="6" t="s">
        <v>6</v>
      </c>
      <c r="S36" s="107" t="b">
        <f aca="true" t="shared" si="5" ref="S36:S41">IF(E19&gt;$T$49,"1")</f>
        <v>0</v>
      </c>
      <c r="T36" s="106" t="b">
        <f aca="true" t="shared" si="6" ref="T36:T41">IF(AND(D19="４０～６４歳",F19&gt;$T$51),"1")</f>
        <v>0</v>
      </c>
      <c r="U36" s="106" t="b">
        <f aca="true" t="shared" si="7" ref="U36:U41">IF(AND(D19="６５歳～",F19&gt;$T$50),"1")</f>
        <v>0</v>
      </c>
      <c r="V36" s="140">
        <f aca="true" t="shared" si="8" ref="V36:V41">SUM(S36+T36+U36)</f>
        <v>0</v>
      </c>
      <c r="W36" s="139">
        <f aca="true" t="shared" si="9" ref="W36:W41">IF(V36&gt;=1,"1",0)</f>
        <v>0</v>
      </c>
    </row>
    <row r="37" spans="1:23" ht="15.75">
      <c r="A37" s="24" t="s">
        <v>214</v>
      </c>
      <c r="B37" s="24"/>
      <c r="C37" s="24"/>
      <c r="D37" s="24"/>
      <c r="E37" s="27"/>
      <c r="F37" s="27"/>
      <c r="G37" s="4"/>
      <c r="H37" s="5"/>
      <c r="I37" s="5"/>
      <c r="J37" s="5"/>
      <c r="K37" s="4"/>
      <c r="L37" s="5"/>
      <c r="M37" s="5"/>
      <c r="O37" s="6" t="s">
        <v>7</v>
      </c>
      <c r="P37" s="103">
        <f t="shared" si="4"/>
        <v>0</v>
      </c>
      <c r="R37" s="6" t="s">
        <v>7</v>
      </c>
      <c r="S37" s="107" t="b">
        <f t="shared" si="5"/>
        <v>0</v>
      </c>
      <c r="T37" s="106" t="b">
        <f t="shared" si="6"/>
        <v>0</v>
      </c>
      <c r="U37" s="106" t="b">
        <f t="shared" si="7"/>
        <v>0</v>
      </c>
      <c r="V37" s="140">
        <f t="shared" si="8"/>
        <v>0</v>
      </c>
      <c r="W37" s="139">
        <f t="shared" si="9"/>
        <v>0</v>
      </c>
    </row>
    <row r="38" spans="1:23" ht="22.5" customHeight="1">
      <c r="A38" s="5"/>
      <c r="B38" s="5"/>
      <c r="C38" s="27" t="s">
        <v>16</v>
      </c>
      <c r="D38" s="24"/>
      <c r="E38" s="27"/>
      <c r="F38" s="27"/>
      <c r="G38" s="4"/>
      <c r="H38" s="5"/>
      <c r="I38" s="5"/>
      <c r="J38" s="5"/>
      <c r="K38" s="4"/>
      <c r="L38" s="5"/>
      <c r="M38" s="5"/>
      <c r="O38" s="6" t="s">
        <v>8</v>
      </c>
      <c r="P38" s="103">
        <f t="shared" si="4"/>
        <v>0</v>
      </c>
      <c r="R38" s="6" t="s">
        <v>8</v>
      </c>
      <c r="S38" s="107" t="b">
        <f t="shared" si="5"/>
        <v>0</v>
      </c>
      <c r="T38" s="106" t="b">
        <f t="shared" si="6"/>
        <v>0</v>
      </c>
      <c r="U38" s="106" t="b">
        <f t="shared" si="7"/>
        <v>0</v>
      </c>
      <c r="V38" s="140">
        <f t="shared" si="8"/>
        <v>0</v>
      </c>
      <c r="W38" s="139">
        <f t="shared" si="9"/>
        <v>0</v>
      </c>
    </row>
    <row r="39" spans="1:23" ht="15.75">
      <c r="A39" s="24" t="s">
        <v>17</v>
      </c>
      <c r="B39" s="24"/>
      <c r="C39" s="27"/>
      <c r="D39" s="24"/>
      <c r="E39" s="27"/>
      <c r="F39" s="27"/>
      <c r="G39" s="4"/>
      <c r="H39" s="5"/>
      <c r="I39" s="5"/>
      <c r="J39" s="5"/>
      <c r="K39" s="4"/>
      <c r="L39" s="11"/>
      <c r="M39" s="11"/>
      <c r="O39" s="6" t="s">
        <v>9</v>
      </c>
      <c r="P39" s="103">
        <f t="shared" si="4"/>
        <v>0</v>
      </c>
      <c r="R39" s="6" t="s">
        <v>9</v>
      </c>
      <c r="S39" s="107" t="b">
        <f t="shared" si="5"/>
        <v>0</v>
      </c>
      <c r="T39" s="106" t="b">
        <f t="shared" si="6"/>
        <v>0</v>
      </c>
      <c r="U39" s="106" t="b">
        <f t="shared" si="7"/>
        <v>0</v>
      </c>
      <c r="V39" s="140">
        <f t="shared" si="8"/>
        <v>0</v>
      </c>
      <c r="W39" s="139">
        <f t="shared" si="9"/>
        <v>0</v>
      </c>
    </row>
    <row r="40" spans="1:23" ht="15.75">
      <c r="A40" s="24" t="s">
        <v>223</v>
      </c>
      <c r="B40" s="24"/>
      <c r="C40" s="27"/>
      <c r="D40" s="24"/>
      <c r="E40" s="27"/>
      <c r="F40" s="27"/>
      <c r="G40" s="4"/>
      <c r="H40" s="5"/>
      <c r="I40" s="5"/>
      <c r="J40" s="5"/>
      <c r="K40" s="4"/>
      <c r="L40" s="11"/>
      <c r="M40" s="11"/>
      <c r="O40" s="6" t="s">
        <v>10</v>
      </c>
      <c r="P40" s="103">
        <f t="shared" si="4"/>
        <v>0</v>
      </c>
      <c r="R40" s="6" t="s">
        <v>10</v>
      </c>
      <c r="S40" s="107" t="b">
        <f t="shared" si="5"/>
        <v>0</v>
      </c>
      <c r="T40" s="106" t="b">
        <f t="shared" si="6"/>
        <v>0</v>
      </c>
      <c r="U40" s="106" t="b">
        <f t="shared" si="7"/>
        <v>0</v>
      </c>
      <c r="V40" s="140">
        <f t="shared" si="8"/>
        <v>0</v>
      </c>
      <c r="W40" s="139">
        <f t="shared" si="9"/>
        <v>0</v>
      </c>
    </row>
    <row r="41" spans="1:23" ht="15.75">
      <c r="A41" s="24" t="s">
        <v>253</v>
      </c>
      <c r="B41" s="24"/>
      <c r="C41" s="24"/>
      <c r="D41" s="24"/>
      <c r="E41" s="27"/>
      <c r="F41" s="27"/>
      <c r="G41" s="4"/>
      <c r="H41" s="5"/>
      <c r="I41" s="11"/>
      <c r="J41" s="5"/>
      <c r="K41" s="4"/>
      <c r="L41" s="11"/>
      <c r="M41" s="11"/>
      <c r="O41" s="6" t="s">
        <v>11</v>
      </c>
      <c r="P41" s="103">
        <f t="shared" si="4"/>
        <v>0</v>
      </c>
      <c r="R41" s="6" t="s">
        <v>11</v>
      </c>
      <c r="S41" s="107" t="b">
        <f t="shared" si="5"/>
        <v>0</v>
      </c>
      <c r="T41" s="106" t="b">
        <f t="shared" si="6"/>
        <v>0</v>
      </c>
      <c r="U41" s="106" t="b">
        <f t="shared" si="7"/>
        <v>0</v>
      </c>
      <c r="V41" s="140">
        <f t="shared" si="8"/>
        <v>0</v>
      </c>
      <c r="W41" s="139">
        <f t="shared" si="9"/>
        <v>0</v>
      </c>
    </row>
    <row r="42" spans="1:23" ht="14.25" customHeight="1" thickBot="1">
      <c r="A42" s="24" t="s">
        <v>21</v>
      </c>
      <c r="B42" s="24"/>
      <c r="C42" s="24"/>
      <c r="D42" s="24"/>
      <c r="E42" s="27"/>
      <c r="F42" s="27"/>
      <c r="G42" s="4"/>
      <c r="H42" s="5"/>
      <c r="I42" s="5"/>
      <c r="J42" s="5"/>
      <c r="K42" s="4"/>
      <c r="L42" s="11"/>
      <c r="M42" s="11"/>
      <c r="P42" s="103">
        <f>SUM(P35:P41)</f>
        <v>0</v>
      </c>
      <c r="S42" s="105"/>
      <c r="T42" s="105"/>
      <c r="U42" s="105"/>
      <c r="W42" s="139">
        <f>COUNTIF(W35:W41,1)</f>
        <v>0</v>
      </c>
    </row>
    <row r="43" spans="1:22" ht="15.75">
      <c r="A43" s="24" t="s">
        <v>224</v>
      </c>
      <c r="B43" s="24"/>
      <c r="C43" s="24"/>
      <c r="D43" s="24"/>
      <c r="E43" s="4"/>
      <c r="F43" s="4"/>
      <c r="G43" s="27"/>
      <c r="H43" s="27"/>
      <c r="I43" s="4"/>
      <c r="J43" s="5"/>
      <c r="K43" s="5"/>
      <c r="L43" s="5"/>
      <c r="M43" s="5"/>
      <c r="S43" s="189"/>
      <c r="T43" s="190" t="s">
        <v>241</v>
      </c>
      <c r="U43" s="191" t="s">
        <v>243</v>
      </c>
      <c r="V43" s="192" t="s">
        <v>242</v>
      </c>
    </row>
    <row r="44" spans="1:22" ht="15.75">
      <c r="A44" s="24" t="s">
        <v>18</v>
      </c>
      <c r="B44" s="24"/>
      <c r="C44" s="24"/>
      <c r="D44" s="24"/>
      <c r="E44" s="4"/>
      <c r="F44" s="7"/>
      <c r="G44" s="7"/>
      <c r="H44" s="7"/>
      <c r="I44" s="7"/>
      <c r="J44" s="7"/>
      <c r="K44" s="7"/>
      <c r="L44" s="7"/>
      <c r="M44" s="7"/>
      <c r="O44" s="6" t="s">
        <v>233</v>
      </c>
      <c r="Q44" s="6" t="s">
        <v>237</v>
      </c>
      <c r="S44" s="193" t="s">
        <v>238</v>
      </c>
      <c r="T44" s="208">
        <v>0.068</v>
      </c>
      <c r="U44" s="209">
        <v>28000</v>
      </c>
      <c r="V44" s="210">
        <v>650000</v>
      </c>
    </row>
    <row r="45" spans="1:22" ht="13.5" customHeight="1">
      <c r="A45" s="156"/>
      <c r="B45" s="156"/>
      <c r="C45" s="156"/>
      <c r="D45" s="156"/>
      <c r="E45" s="4"/>
      <c r="F45" s="7"/>
      <c r="G45" s="7"/>
      <c r="H45" s="7"/>
      <c r="I45" s="7"/>
      <c r="J45" s="7"/>
      <c r="K45" s="7"/>
      <c r="L45" s="7"/>
      <c r="M45" s="7"/>
      <c r="O45" s="6" t="s">
        <v>234</v>
      </c>
      <c r="P45" s="6">
        <f>R2</f>
        <v>0</v>
      </c>
      <c r="S45" s="193" t="s">
        <v>239</v>
      </c>
      <c r="T45" s="208">
        <v>0.02</v>
      </c>
      <c r="U45" s="209">
        <v>11000</v>
      </c>
      <c r="V45" s="210">
        <v>200000</v>
      </c>
    </row>
    <row r="46" spans="1:22" ht="13.5" customHeight="1">
      <c r="A46" s="156"/>
      <c r="B46" s="223" t="s">
        <v>27</v>
      </c>
      <c r="C46" s="223"/>
      <c r="D46" s="223"/>
      <c r="E46" s="4"/>
      <c r="F46" s="7"/>
      <c r="G46" s="7"/>
      <c r="H46" s="7"/>
      <c r="I46" s="7"/>
      <c r="J46" s="7"/>
      <c r="K46" s="7"/>
      <c r="L46" s="7"/>
      <c r="M46" s="7"/>
      <c r="O46" s="6" t="s">
        <v>235</v>
      </c>
      <c r="P46" s="6">
        <f>IF(H35=7,P45*U44*0.3,IF(H35=5,P45*U44*0.5,IF(H35=2,P45*U44*0.8,IF(H35=0,P45*U44))))</f>
        <v>0</v>
      </c>
      <c r="Q46" s="6">
        <f>P46/2</f>
        <v>0</v>
      </c>
      <c r="S46" s="193" t="s">
        <v>240</v>
      </c>
      <c r="T46" s="208">
        <v>0.021</v>
      </c>
      <c r="U46" s="209">
        <v>15000</v>
      </c>
      <c r="V46" s="210">
        <v>170000</v>
      </c>
    </row>
    <row r="47" spans="1:22" ht="18.75">
      <c r="A47" s="24"/>
      <c r="B47" s="223"/>
      <c r="C47" s="223"/>
      <c r="D47" s="223"/>
      <c r="E47" s="26"/>
      <c r="F47" s="7"/>
      <c r="G47" s="7"/>
      <c r="H47" s="7"/>
      <c r="I47" s="7"/>
      <c r="J47" s="7"/>
      <c r="K47" s="7"/>
      <c r="L47" s="7"/>
      <c r="M47" s="7"/>
      <c r="O47" s="6" t="s">
        <v>236</v>
      </c>
      <c r="P47" s="6">
        <f>IF(H35=7,P45*U45*0.3,IF(H35=5,P45*U45*0.5,IF(H35=2,P45*U45*0.8,IF(H35=0,P45*U45))))</f>
        <v>0</v>
      </c>
      <c r="Q47" s="6">
        <f>P47/2</f>
        <v>0</v>
      </c>
      <c r="S47" s="193"/>
      <c r="T47" s="207">
        <f>SUM(T44:T46)</f>
        <v>0.10900000000000001</v>
      </c>
      <c r="U47" s="194">
        <f>SUM(U44:U46)</f>
        <v>54000</v>
      </c>
      <c r="V47" s="195">
        <f>SUM(V44:V46)</f>
        <v>1020000</v>
      </c>
    </row>
    <row r="48" spans="1:22" ht="15.75">
      <c r="A48" s="24"/>
      <c r="B48" s="24"/>
      <c r="C48" s="24" t="s">
        <v>22</v>
      </c>
      <c r="D48" s="24"/>
      <c r="E48" s="4"/>
      <c r="F48" s="7"/>
      <c r="G48" s="7"/>
      <c r="H48" s="7"/>
      <c r="I48" s="7"/>
      <c r="J48" s="7"/>
      <c r="K48" s="7"/>
      <c r="L48" s="7"/>
      <c r="M48" s="7"/>
      <c r="S48" s="193" t="s">
        <v>244</v>
      </c>
      <c r="T48" s="204">
        <v>430000</v>
      </c>
      <c r="U48" s="196"/>
      <c r="V48" s="197"/>
    </row>
    <row r="49" spans="1:22" ht="15.75">
      <c r="A49" s="24"/>
      <c r="B49" s="24"/>
      <c r="C49" s="24" t="s">
        <v>23</v>
      </c>
      <c r="D49" s="24"/>
      <c r="E49" s="4"/>
      <c r="F49" s="7"/>
      <c r="G49" s="7"/>
      <c r="H49" s="7"/>
      <c r="I49" s="7"/>
      <c r="J49" s="7"/>
      <c r="K49" s="7"/>
      <c r="L49" s="7"/>
      <c r="M49" s="7"/>
      <c r="S49" s="193" t="s">
        <v>249</v>
      </c>
      <c r="T49" s="205">
        <v>550000</v>
      </c>
      <c r="U49" s="196"/>
      <c r="V49" s="197"/>
    </row>
    <row r="50" spans="3:22" ht="15.75">
      <c r="C50" s="30"/>
      <c r="D50" s="30"/>
      <c r="G50" s="7"/>
      <c r="H50" s="7"/>
      <c r="I50" s="7"/>
      <c r="J50" s="7"/>
      <c r="K50" s="7"/>
      <c r="L50" s="7"/>
      <c r="M50" s="7"/>
      <c r="S50" s="193" t="s">
        <v>248</v>
      </c>
      <c r="T50" s="204">
        <v>1100000</v>
      </c>
      <c r="U50" s="196"/>
      <c r="V50" s="197"/>
    </row>
    <row r="51" spans="1:24" ht="16.5" thickBot="1">
      <c r="A51" s="30"/>
      <c r="B51" s="30"/>
      <c r="C51" s="30"/>
      <c r="D51" s="30"/>
      <c r="G51" s="32"/>
      <c r="H51" s="32"/>
      <c r="I51" s="31"/>
      <c r="J51" s="29"/>
      <c r="K51" s="6"/>
      <c r="S51" s="198" t="s">
        <v>250</v>
      </c>
      <c r="T51" s="206">
        <v>600000</v>
      </c>
      <c r="U51" s="199"/>
      <c r="V51" s="200"/>
      <c r="X51" s="164"/>
    </row>
    <row r="52" spans="10:19" ht="12.75">
      <c r="J52" s="29"/>
      <c r="S52" s="163" t="s">
        <v>245</v>
      </c>
    </row>
    <row r="53" spans="3:19" ht="12.75">
      <c r="C53" s="213"/>
      <c r="D53" s="213"/>
      <c r="E53" s="214"/>
      <c r="F53" s="214"/>
      <c r="J53" s="29"/>
      <c r="S53" s="163" t="s">
        <v>246</v>
      </c>
    </row>
    <row r="54" spans="3:19" ht="12.75">
      <c r="C54" s="213"/>
      <c r="D54" s="213"/>
      <c r="E54" s="214"/>
      <c r="F54" s="214"/>
      <c r="J54" s="29"/>
      <c r="R54" s="162"/>
      <c r="S54" s="163" t="s">
        <v>247</v>
      </c>
    </row>
    <row r="55" ht="12.75">
      <c r="S55" s="163"/>
    </row>
    <row r="57" ht="12.75">
      <c r="S57" s="163"/>
    </row>
    <row r="58" ht="12.75">
      <c r="S58" s="163"/>
    </row>
  </sheetData>
  <sheetProtection sheet="1" selectLockedCells="1"/>
  <mergeCells count="10">
    <mergeCell ref="A1:H3"/>
    <mergeCell ref="C26:F26"/>
    <mergeCell ref="C53:D54"/>
    <mergeCell ref="E53:F54"/>
    <mergeCell ref="G31:L31"/>
    <mergeCell ref="G26:H26"/>
    <mergeCell ref="G28:H28"/>
    <mergeCell ref="K28:M28"/>
    <mergeCell ref="F29:I29"/>
    <mergeCell ref="B46:D47"/>
  </mergeCells>
  <dataValidations count="9">
    <dataValidation errorStyle="information" allowBlank="1" showInputMessage="1" showErrorMessage="1" promptTitle="固定資産税額入力" prompt="都市計画税を除いた上尾市固定資産税額を入力します。&#10;不動産を共有している場合は持分毎の税額を入力して下さい。" error="固定資産税額を数値で入力して下さい。" imeMode="halfAlpha" sqref="I18:I24"/>
    <dataValidation errorStyle="information" type="list" allowBlank="1" showInputMessage="1" showErrorMessage="1" promptTitle="100分の30" prompt="空欄のまま、もしくは該当、非該当を選択してください。" error="空欄、もしくは該当、非該当を選択してください。" imeMode="halfAlpha" sqref="H18:H24">
      <formula1>"該当,非該当"</formula1>
    </dataValidation>
    <dataValidation errorStyle="information" type="list" allowBlank="1" showInputMessage="1" showErrorMessage="1" promptTitle="年齢区分選択" prompt="加入される方の年齢区分を選択してください。&#10;※年度途中に40歳、65歳になる方は正しい金額が算出できない可能性があるのでご注意ください。また、子ども均等割は未就学児に限りますので、該当する場合は0~6歳を選択してください。" sqref="D18 D21:D24">
      <formula1>$Q$2:$Q$5</formula1>
    </dataValidation>
    <dataValidation errorStyle="information" type="whole" allowBlank="1" showInputMessage="1" showErrorMessage="1" promptTitle="年金収入入力" prompt="年金収入額を入力します。公的年金等の源泉徴収票の支払金額欄の額を入力します。" error="年金所得額を数値で入力して下さい。" imeMode="halfAlpha" sqref="F18:F24">
      <formula1>0</formula1>
      <formula2>9.99999999999999E+67</formula2>
    </dataValidation>
    <dataValidation errorStyle="information" allowBlank="1" showInputMessage="1" showErrorMessage="1" promptTitle="その他所得入力" prompt="給与収入、年金収入以外に所得がある場合は、その所得の合計額を入力します。ただし、退職所得は除きます。" error="その他所得を数値で入力して下さい。" imeMode="halfAlpha" sqref="G23:G24 G18:G21"/>
    <dataValidation errorStyle="information" type="whole" allowBlank="1" showInputMessage="1" showErrorMessage="1" promptTitle="給与収入入力" prompt="給与収入を入力します。給与所得の源泉徴収票の支払金額欄に記載されている額を入力します。" error="給与所得額を数値で入力して下さい" imeMode="halfAlpha" sqref="E18:E24">
      <formula1>0</formula1>
      <formula2>9.99999999999999E+44</formula2>
    </dataValidation>
    <dataValidation type="list" allowBlank="1" showInputMessage="1" showErrorMessage="1" promptTitle="※１ア～ウに該当する者" prompt="空欄のまま、もしくは該当、非該当を選択してください。" sqref="C18:C24">
      <formula1>$T$3:$T$4</formula1>
    </dataValidation>
    <dataValidation errorStyle="information" type="whole" allowBlank="1" showInputMessage="1" showErrorMessage="1" promptTitle="その他所得入力" prompt="給与収入、年金収入以外に所得がある場合は、その所得の合計額を入力します。ただし、退職所得は除きます。" error="給与所得額を数値で入力して下さい" imeMode="halfAlpha" sqref="G22">
      <formula1>0</formula1>
      <formula2>9.99999999999999E+44</formula2>
    </dataValidation>
    <dataValidation errorStyle="information" type="list" allowBlank="1" showInputMessage="1" showErrorMessage="1" promptTitle="年齢区分選択" prompt="加入される方の年齢区分を選択してください。&#10;※年度途中に40歳、65歳になる方は正しい金額が算出できない可能性があるのでご注意ください。また、子ども均等割は未就学児に限りますので、該当する場合は0~6歳を選択してください。&#10;" sqref="D20 D19">
      <formula1>$Q$2:$Q$5</formula1>
    </dataValidation>
  </dataValidations>
  <printOptions/>
  <pageMargins left="0.2362204724409449" right="0.2362204724409449" top="0.35433070866141736" bottom="0.35433070866141736" header="0.31496062992125984" footer="0.31496062992125984"/>
  <pageSetup fitToHeight="1" fitToWidth="1" horizontalDpi="600" verticalDpi="600" orientation="portrait" paperSize="9" scale="72" r:id="rId4"/>
  <drawing r:id="rId3"/>
  <legacyDrawing r:id="rId2"/>
</worksheet>
</file>

<file path=xl/worksheets/sheet10.xml><?xml version="1.0" encoding="utf-8"?>
<worksheet xmlns="http://schemas.openxmlformats.org/spreadsheetml/2006/main" xmlns:r="http://schemas.openxmlformats.org/officeDocument/2006/relationships">
  <sheetPr codeName="Sheet8"/>
  <dimension ref="A1:L41"/>
  <sheetViews>
    <sheetView zoomScalePageLayoutView="0" workbookViewId="0" topLeftCell="A7">
      <selection activeCell="E6" sqref="E6"/>
    </sheetView>
  </sheetViews>
  <sheetFormatPr defaultColWidth="9.140625" defaultRowHeight="15"/>
  <cols>
    <col min="1" max="1" width="12.140625" style="0" customWidth="1"/>
    <col min="2" max="2" width="4.8515625" style="0" customWidth="1"/>
    <col min="3" max="3" width="14.7109375" style="0" customWidth="1"/>
    <col min="4" max="4" width="12.8515625" style="0" customWidth="1"/>
    <col min="5" max="5" width="16.28125" style="0" customWidth="1"/>
    <col min="6" max="7" width="14.7109375" style="0" customWidth="1"/>
    <col min="8" max="8" width="4.421875" style="0" customWidth="1"/>
    <col min="9" max="9" width="25.00390625" style="34" customWidth="1"/>
    <col min="10" max="10" width="25.00390625" style="0" customWidth="1"/>
    <col min="11" max="13" width="14.7109375" style="0" customWidth="1"/>
    <col min="14" max="18" width="9.00390625" style="0" customWidth="1"/>
  </cols>
  <sheetData>
    <row r="1" ht="12.75">
      <c r="A1" t="s">
        <v>51</v>
      </c>
    </row>
    <row r="3" spans="1:12" ht="12.75">
      <c r="A3" t="s">
        <v>52</v>
      </c>
      <c r="I3" s="245" t="s">
        <v>53</v>
      </c>
      <c r="J3" s="245"/>
      <c r="K3" s="245"/>
      <c r="L3" s="245"/>
    </row>
    <row r="4" spans="9:12" ht="12.75">
      <c r="I4" s="245" t="s">
        <v>54</v>
      </c>
      <c r="J4" s="245"/>
      <c r="K4" s="245"/>
      <c r="L4" s="245"/>
    </row>
    <row r="5" spans="1:12" ht="12.75">
      <c r="A5" t="s">
        <v>35</v>
      </c>
      <c r="E5" s="83">
        <f>IF('加入者(3)'!F6="","",'加入者(3)'!F6)</f>
        <v>0</v>
      </c>
      <c r="F5" t="s">
        <v>0</v>
      </c>
      <c r="I5" s="245" t="s">
        <v>55</v>
      </c>
      <c r="J5" s="245"/>
      <c r="K5" s="245"/>
      <c r="L5" s="245"/>
    </row>
    <row r="6" spans="9:12" ht="12.75">
      <c r="I6" s="245" t="s">
        <v>56</v>
      </c>
      <c r="J6" s="245"/>
      <c r="K6" s="245"/>
      <c r="L6" s="245"/>
    </row>
    <row r="7" spans="1:12" ht="12.75">
      <c r="A7" t="s">
        <v>57</v>
      </c>
      <c r="D7" t="s">
        <v>58</v>
      </c>
      <c r="I7" s="245" t="s">
        <v>59</v>
      </c>
      <c r="J7" s="245"/>
      <c r="K7" s="245"/>
      <c r="L7" s="245"/>
    </row>
    <row r="8" spans="9:10" ht="12.75">
      <c r="I8" s="34" t="s">
        <v>143</v>
      </c>
      <c r="J8" t="s">
        <v>144</v>
      </c>
    </row>
    <row r="9" spans="1:12" ht="13.5" customHeight="1">
      <c r="A9">
        <v>1</v>
      </c>
      <c r="B9" t="s">
        <v>60</v>
      </c>
      <c r="C9" s="35">
        <v>550999</v>
      </c>
      <c r="D9" t="s">
        <v>61</v>
      </c>
      <c r="I9" s="34" t="s">
        <v>62</v>
      </c>
      <c r="J9" s="246" t="s">
        <v>63</v>
      </c>
      <c r="K9" s="246"/>
      <c r="L9" s="36"/>
    </row>
    <row r="10" spans="1:12" ht="12.75">
      <c r="A10" s="35">
        <v>551000</v>
      </c>
      <c r="B10" t="s">
        <v>60</v>
      </c>
      <c r="C10" s="35">
        <v>1618999</v>
      </c>
      <c r="D10" t="s">
        <v>64</v>
      </c>
      <c r="I10" s="84" t="b">
        <f>IF('加入者(3)'!F14="該当",E5)</f>
        <v>0</v>
      </c>
      <c r="J10" s="37">
        <f>C34</f>
        <v>0</v>
      </c>
      <c r="K10" s="38"/>
      <c r="L10" s="36"/>
    </row>
    <row r="11" spans="1:12" ht="12.75">
      <c r="A11" s="35">
        <v>1619000</v>
      </c>
      <c r="B11" t="s">
        <v>60</v>
      </c>
      <c r="C11" s="35">
        <v>1619999</v>
      </c>
      <c r="D11" t="s">
        <v>65</v>
      </c>
      <c r="I11" s="34" t="s">
        <v>66</v>
      </c>
      <c r="J11" s="36"/>
      <c r="K11" s="36"/>
      <c r="L11" s="36"/>
    </row>
    <row r="12" spans="1:12" ht="12.75">
      <c r="A12" s="35">
        <v>1620000</v>
      </c>
      <c r="B12" t="s">
        <v>60</v>
      </c>
      <c r="C12" s="35">
        <v>1621999</v>
      </c>
      <c r="D12" t="s">
        <v>67</v>
      </c>
      <c r="I12" s="39" t="str">
        <f>_xlfn.IFERROR(VLOOKUP(I10,$J$20:$L$21,3,1),"0")</f>
        <v>0</v>
      </c>
      <c r="J12" s="36"/>
      <c r="K12" s="38"/>
      <c r="L12" s="36"/>
    </row>
    <row r="13" spans="1:10" ht="12.75">
      <c r="A13" s="35">
        <v>1622000</v>
      </c>
      <c r="B13" t="s">
        <v>60</v>
      </c>
      <c r="C13" s="35">
        <v>1623999</v>
      </c>
      <c r="D13" t="s">
        <v>68</v>
      </c>
      <c r="I13" s="245" t="s">
        <v>69</v>
      </c>
      <c r="J13" s="245"/>
    </row>
    <row r="14" spans="1:12" ht="12.75">
      <c r="A14" s="35">
        <v>1624000</v>
      </c>
      <c r="B14" t="s">
        <v>60</v>
      </c>
      <c r="C14" s="35">
        <v>1627999</v>
      </c>
      <c r="D14" t="s">
        <v>70</v>
      </c>
      <c r="I14" s="34">
        <f>_xlfn.IFERROR(J10-I12,"0")</f>
        <v>0</v>
      </c>
      <c r="J14" s="36"/>
      <c r="K14" s="36"/>
      <c r="L14" s="36"/>
    </row>
    <row r="15" spans="1:12" ht="12.75">
      <c r="A15" s="35">
        <v>1628000</v>
      </c>
      <c r="B15" t="s">
        <v>60</v>
      </c>
      <c r="C15" s="35">
        <v>1799999</v>
      </c>
      <c r="D15" t="s">
        <v>71</v>
      </c>
      <c r="I15" s="40"/>
      <c r="J15" s="36"/>
      <c r="K15" s="38"/>
      <c r="L15" s="38"/>
    </row>
    <row r="16" spans="1:12" ht="12.75">
      <c r="A16" s="35">
        <v>1800000</v>
      </c>
      <c r="B16" t="s">
        <v>60</v>
      </c>
      <c r="C16" s="35">
        <v>3599999</v>
      </c>
      <c r="D16" t="s">
        <v>72</v>
      </c>
      <c r="J16" s="36"/>
      <c r="K16" s="38"/>
      <c r="L16" s="38"/>
    </row>
    <row r="17" spans="1:4" ht="12.75">
      <c r="A17" s="35">
        <v>3600000</v>
      </c>
      <c r="B17" t="s">
        <v>60</v>
      </c>
      <c r="C17" s="35">
        <v>6599999</v>
      </c>
      <c r="D17" t="s">
        <v>73</v>
      </c>
    </row>
    <row r="18" spans="1:4" ht="12.75">
      <c r="A18" s="35">
        <v>6600000</v>
      </c>
      <c r="B18" t="s">
        <v>60</v>
      </c>
      <c r="C18" s="35">
        <v>8499999</v>
      </c>
      <c r="D18" t="s">
        <v>74</v>
      </c>
    </row>
    <row r="19" spans="1:12" ht="12.75">
      <c r="A19" s="35">
        <v>8500000</v>
      </c>
      <c r="B19" t="s">
        <v>75</v>
      </c>
      <c r="D19" t="s">
        <v>76</v>
      </c>
      <c r="I19" s="34" t="s">
        <v>77</v>
      </c>
      <c r="J19" s="36" t="s">
        <v>78</v>
      </c>
      <c r="K19" s="36" t="s">
        <v>79</v>
      </c>
      <c r="L19" s="36" t="s">
        <v>80</v>
      </c>
    </row>
    <row r="20" spans="9:12" ht="12.75">
      <c r="I20" s="34" t="s">
        <v>81</v>
      </c>
      <c r="J20" s="36">
        <v>8500000</v>
      </c>
      <c r="K20" s="38" t="b">
        <f>I10</f>
        <v>0</v>
      </c>
      <c r="L20" s="38">
        <f>(K20-8500000)*0.1</f>
        <v>-850000</v>
      </c>
    </row>
    <row r="21" spans="9:12" ht="12.75">
      <c r="I21" s="34" t="s">
        <v>82</v>
      </c>
      <c r="J21" s="36">
        <v>10000001</v>
      </c>
      <c r="K21" s="38" t="b">
        <f>I10</f>
        <v>0</v>
      </c>
      <c r="L21" s="38">
        <f>(10000000-8500000)*0.1</f>
        <v>150000</v>
      </c>
    </row>
    <row r="22" ht="12.75">
      <c r="C22" t="s">
        <v>83</v>
      </c>
    </row>
    <row r="23" ht="12.75">
      <c r="C23">
        <f>IF(E5&lt;=C9,0,0)</f>
        <v>0</v>
      </c>
    </row>
    <row r="24" ht="12.75">
      <c r="C24">
        <f>IF(AND($E$5&gt;=A10,$E$5&lt;=C10),$E$5-550000,0)</f>
        <v>0</v>
      </c>
    </row>
    <row r="25" ht="12.75">
      <c r="C25">
        <f>IF(AND($E$5&gt;=A11,$E$5&lt;=C11),1069000,0)</f>
        <v>0</v>
      </c>
    </row>
    <row r="26" ht="12.75">
      <c r="C26">
        <f>IF(AND($E$5&gt;=A12,$E$5&lt;=C12),1070000,0)</f>
        <v>0</v>
      </c>
    </row>
    <row r="27" ht="12.75">
      <c r="C27">
        <f>IF(AND($E$5&gt;=A13,$E$5&lt;=C13),1072000,0)</f>
        <v>0</v>
      </c>
    </row>
    <row r="28" ht="12.75">
      <c r="C28">
        <f>IF(AND($E$5&gt;=A14,$E$5&lt;=C14),1074000,0)</f>
        <v>0</v>
      </c>
    </row>
    <row r="29" ht="12.75">
      <c r="C29">
        <f>IF(AND($E$5&gt;=A15,$E$5&lt;=C15),ROUNDDOWN($E$5/4,-3)*2.4+100000,0)</f>
        <v>0</v>
      </c>
    </row>
    <row r="30" ht="12.75">
      <c r="C30">
        <f>IF(AND($E$5&gt;=A16,$E$5&lt;=C16),ROUNDDOWN($E$5/4,-3)*2.8-80000,0)</f>
        <v>0</v>
      </c>
    </row>
    <row r="31" ht="12.75">
      <c r="C31">
        <f>IF(AND($E$5&gt;=A17,$E$5&lt;=C17),ROUNDDOWN($E$5/4,-3)*3.2-440000,0)</f>
        <v>0</v>
      </c>
    </row>
    <row r="32" ht="12.75">
      <c r="C32">
        <f>IF(AND($E$5&gt;=A18,$E$5&lt;=C18),ROUNDDOWN($E$5*0.9,0)-1100000,0)</f>
        <v>0</v>
      </c>
    </row>
    <row r="33" ht="12.75">
      <c r="C33">
        <f>IF($E$5&gt;=A19,$E$5-1950000,0)</f>
        <v>0</v>
      </c>
    </row>
    <row r="34" spans="1:6" ht="12.75">
      <c r="A34" t="s">
        <v>33</v>
      </c>
      <c r="C34">
        <f>SUM(C23:C33)</f>
        <v>0</v>
      </c>
      <c r="E34">
        <v>100000</v>
      </c>
      <c r="F34" t="s">
        <v>84</v>
      </c>
    </row>
    <row r="37" ht="12.75">
      <c r="A37" t="s">
        <v>85</v>
      </c>
    </row>
    <row r="38" ht="12.75">
      <c r="A38" t="s">
        <v>86</v>
      </c>
    </row>
    <row r="39" ht="12.75">
      <c r="A39" t="s">
        <v>55</v>
      </c>
    </row>
    <row r="40" ht="12.75">
      <c r="A40" t="s">
        <v>56</v>
      </c>
    </row>
    <row r="41" ht="12.75">
      <c r="A41" t="s">
        <v>59</v>
      </c>
    </row>
  </sheetData>
  <sheetProtection/>
  <mergeCells count="7">
    <mergeCell ref="I13:J13"/>
    <mergeCell ref="I3:L3"/>
    <mergeCell ref="I4:L4"/>
    <mergeCell ref="I5:L5"/>
    <mergeCell ref="I6:L6"/>
    <mergeCell ref="I7:L7"/>
    <mergeCell ref="J9:K9"/>
  </mergeCells>
  <printOptions/>
  <pageMargins left="0.7" right="0.7" top="0.75" bottom="0.75" header="0.3" footer="0.3"/>
  <pageSetup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sheetPr codeName="Sheet9"/>
  <dimension ref="A1:R54"/>
  <sheetViews>
    <sheetView zoomScalePageLayoutView="0" workbookViewId="0" topLeftCell="A40">
      <selection activeCell="B49" sqref="B49"/>
    </sheetView>
  </sheetViews>
  <sheetFormatPr defaultColWidth="9.140625" defaultRowHeight="15"/>
  <cols>
    <col min="1" max="1" width="4.00390625" style="0" customWidth="1"/>
    <col min="2" max="2" width="13.28125" style="0" customWidth="1"/>
    <col min="3" max="3" width="13.00390625" style="0" customWidth="1"/>
    <col min="4" max="4" width="3.8515625" style="0" customWidth="1"/>
    <col min="5" max="5" width="12.140625" style="0" customWidth="1"/>
    <col min="6" max="6" width="25.421875" style="0" customWidth="1"/>
    <col min="7" max="7" width="10.8515625" style="0" customWidth="1"/>
    <col min="8" max="8" width="14.421875" style="0" customWidth="1"/>
    <col min="9" max="9" width="10.8515625" style="0" customWidth="1"/>
    <col min="10" max="10" width="9.00390625" style="0" customWidth="1"/>
    <col min="11" max="11" width="10.7109375" style="0" customWidth="1"/>
    <col min="12" max="12" width="25.140625" style="0" customWidth="1"/>
    <col min="13" max="14" width="9.00390625" style="0" customWidth="1"/>
    <col min="15" max="15" width="11.140625" style="0" customWidth="1"/>
    <col min="16" max="16" width="9.00390625" style="0" customWidth="1"/>
    <col min="17" max="17" width="11.140625" style="0" customWidth="1"/>
    <col min="18" max="18" width="24.7109375" style="0" customWidth="1"/>
  </cols>
  <sheetData>
    <row r="1" ht="12.75">
      <c r="A1" t="s">
        <v>87</v>
      </c>
    </row>
    <row r="3" ht="12.75">
      <c r="A3" t="s">
        <v>88</v>
      </c>
    </row>
    <row r="5" spans="2:7" ht="12.75">
      <c r="B5" t="s">
        <v>89</v>
      </c>
      <c r="F5" s="83">
        <f>'加入者(3)'!F7</f>
        <v>0</v>
      </c>
      <c r="G5" t="s">
        <v>0</v>
      </c>
    </row>
    <row r="6" spans="2:10" ht="12.75">
      <c r="B6" t="s">
        <v>90</v>
      </c>
      <c r="F6" s="88" t="e">
        <f>'加入者(3)'!F8</f>
        <v>#N/A</v>
      </c>
      <c r="H6" t="s">
        <v>38</v>
      </c>
      <c r="J6" t="s">
        <v>40</v>
      </c>
    </row>
    <row r="7" spans="2:10" ht="12.75">
      <c r="B7" t="s">
        <v>91</v>
      </c>
      <c r="F7" s="88" t="str">
        <f>'加入者(3)'!F9</f>
        <v>1,000万円以下</v>
      </c>
      <c r="H7" t="s">
        <v>92</v>
      </c>
      <c r="J7" t="s">
        <v>93</v>
      </c>
    </row>
    <row r="8" ht="12.75">
      <c r="J8" t="s">
        <v>94</v>
      </c>
    </row>
    <row r="10" ht="12.75">
      <c r="B10" t="s">
        <v>95</v>
      </c>
    </row>
    <row r="11" spans="2:14" ht="12.75">
      <c r="B11" t="str">
        <f>J6</f>
        <v>1,000万円以下</v>
      </c>
      <c r="H11" t="str">
        <f>J7</f>
        <v>1,000万円超2,000万円以下</v>
      </c>
      <c r="N11" t="str">
        <f>J8</f>
        <v>2,000万円超</v>
      </c>
    </row>
    <row r="12" spans="2:18" ht="29.25" customHeight="1">
      <c r="B12" s="42" t="s">
        <v>96</v>
      </c>
      <c r="C12" s="247" t="s">
        <v>97</v>
      </c>
      <c r="D12" s="248"/>
      <c r="E12" s="249"/>
      <c r="F12" s="42" t="s">
        <v>98</v>
      </c>
      <c r="H12" s="42" t="s">
        <v>96</v>
      </c>
      <c r="I12" s="247" t="s">
        <v>97</v>
      </c>
      <c r="J12" s="248"/>
      <c r="K12" s="249"/>
      <c r="L12" s="42" t="s">
        <v>98</v>
      </c>
      <c r="N12" s="42" t="s">
        <v>96</v>
      </c>
      <c r="O12" s="247" t="s">
        <v>97</v>
      </c>
      <c r="P12" s="248"/>
      <c r="Q12" s="249"/>
      <c r="R12" s="42" t="s">
        <v>98</v>
      </c>
    </row>
    <row r="13" spans="2:18" ht="12.75">
      <c r="B13" s="250" t="s">
        <v>38</v>
      </c>
      <c r="C13" s="43">
        <v>1</v>
      </c>
      <c r="D13" s="44" t="s">
        <v>75</v>
      </c>
      <c r="E13" s="45">
        <v>3300000</v>
      </c>
      <c r="F13" s="42" t="s">
        <v>99</v>
      </c>
      <c r="H13" s="250" t="s">
        <v>38</v>
      </c>
      <c r="I13" s="43">
        <v>1</v>
      </c>
      <c r="J13" s="44" t="s">
        <v>75</v>
      </c>
      <c r="K13" s="45">
        <v>3300000</v>
      </c>
      <c r="L13" s="42" t="s">
        <v>100</v>
      </c>
      <c r="N13" s="250" t="s">
        <v>38</v>
      </c>
      <c r="O13" s="43">
        <v>1</v>
      </c>
      <c r="P13" s="44" t="s">
        <v>75</v>
      </c>
      <c r="Q13" s="45">
        <v>3300000</v>
      </c>
      <c r="R13" s="42" t="s">
        <v>101</v>
      </c>
    </row>
    <row r="14" spans="2:18" ht="12.75">
      <c r="B14" s="251"/>
      <c r="C14" s="43">
        <v>3300001</v>
      </c>
      <c r="D14" s="44" t="s">
        <v>75</v>
      </c>
      <c r="E14" s="45">
        <v>4100000</v>
      </c>
      <c r="F14" s="42" t="s">
        <v>103</v>
      </c>
      <c r="H14" s="251"/>
      <c r="I14" s="43">
        <v>3300001</v>
      </c>
      <c r="J14" s="44" t="s">
        <v>75</v>
      </c>
      <c r="K14" s="45">
        <v>4100000</v>
      </c>
      <c r="L14" s="42" t="s">
        <v>105</v>
      </c>
      <c r="N14" s="251"/>
      <c r="O14" s="43">
        <v>3300001</v>
      </c>
      <c r="P14" s="44" t="s">
        <v>75</v>
      </c>
      <c r="Q14" s="45">
        <v>4100000</v>
      </c>
      <c r="R14" s="42" t="s">
        <v>107</v>
      </c>
    </row>
    <row r="15" spans="2:18" ht="12.75">
      <c r="B15" s="251"/>
      <c r="C15" s="43">
        <v>4100001</v>
      </c>
      <c r="D15" s="44" t="s">
        <v>75</v>
      </c>
      <c r="E15" s="45">
        <v>7700000</v>
      </c>
      <c r="F15" s="42" t="s">
        <v>108</v>
      </c>
      <c r="H15" s="251"/>
      <c r="I15" s="43">
        <v>4100001</v>
      </c>
      <c r="J15" s="44" t="s">
        <v>75</v>
      </c>
      <c r="K15" s="45">
        <v>7700000</v>
      </c>
      <c r="L15" s="42" t="s">
        <v>110</v>
      </c>
      <c r="N15" s="251"/>
      <c r="O15" s="43">
        <v>4100001</v>
      </c>
      <c r="P15" s="44" t="s">
        <v>75</v>
      </c>
      <c r="Q15" s="45">
        <v>7700000</v>
      </c>
      <c r="R15" s="42" t="s">
        <v>111</v>
      </c>
    </row>
    <row r="16" spans="2:18" ht="12.75">
      <c r="B16" s="251"/>
      <c r="C16" s="43">
        <v>7700001</v>
      </c>
      <c r="D16" s="44" t="s">
        <v>75</v>
      </c>
      <c r="E16" s="45">
        <v>10000000</v>
      </c>
      <c r="F16" s="42" t="s">
        <v>112</v>
      </c>
      <c r="H16" s="251"/>
      <c r="I16" s="43">
        <v>7700001</v>
      </c>
      <c r="J16" s="44" t="s">
        <v>75</v>
      </c>
      <c r="K16" s="45">
        <v>10000000</v>
      </c>
      <c r="L16" s="42" t="s">
        <v>114</v>
      </c>
      <c r="N16" s="251"/>
      <c r="O16" s="43">
        <v>7700001</v>
      </c>
      <c r="P16" s="44" t="s">
        <v>75</v>
      </c>
      <c r="Q16" s="45">
        <v>10000000</v>
      </c>
      <c r="R16" s="42" t="s">
        <v>115</v>
      </c>
    </row>
    <row r="17" spans="2:18" ht="12.75">
      <c r="B17" s="252"/>
      <c r="C17" s="43">
        <v>10000001</v>
      </c>
      <c r="D17" s="44" t="s">
        <v>75</v>
      </c>
      <c r="E17" s="45"/>
      <c r="F17" s="42" t="s">
        <v>116</v>
      </c>
      <c r="H17" s="252"/>
      <c r="I17" s="43">
        <v>10000001</v>
      </c>
      <c r="J17" s="44" t="s">
        <v>75</v>
      </c>
      <c r="K17" s="45"/>
      <c r="L17" s="42" t="s">
        <v>118</v>
      </c>
      <c r="N17" s="252"/>
      <c r="O17" s="43">
        <v>10000001</v>
      </c>
      <c r="P17" s="44" t="s">
        <v>75</v>
      </c>
      <c r="Q17" s="45"/>
      <c r="R17" s="42" t="s">
        <v>120</v>
      </c>
    </row>
    <row r="18" spans="2:18" ht="12.75">
      <c r="B18" s="253" t="s">
        <v>92</v>
      </c>
      <c r="C18" s="43">
        <v>1</v>
      </c>
      <c r="D18" s="44" t="s">
        <v>75</v>
      </c>
      <c r="E18" s="45">
        <v>1300000</v>
      </c>
      <c r="F18" s="42" t="s">
        <v>121</v>
      </c>
      <c r="H18" s="253" t="s">
        <v>92</v>
      </c>
      <c r="I18" s="43">
        <v>1</v>
      </c>
      <c r="J18" s="44" t="s">
        <v>75</v>
      </c>
      <c r="K18" s="45">
        <v>1300000</v>
      </c>
      <c r="L18" s="42" t="s">
        <v>123</v>
      </c>
      <c r="N18" s="253" t="s">
        <v>92</v>
      </c>
      <c r="O18" s="43">
        <v>1</v>
      </c>
      <c r="P18" s="44" t="s">
        <v>75</v>
      </c>
      <c r="Q18" s="45">
        <v>1300000</v>
      </c>
      <c r="R18" s="42" t="s">
        <v>124</v>
      </c>
    </row>
    <row r="19" spans="2:18" ht="12.75">
      <c r="B19" s="254"/>
      <c r="C19" s="43">
        <v>1300001</v>
      </c>
      <c r="D19" s="44" t="s">
        <v>75</v>
      </c>
      <c r="E19" s="45">
        <v>4100000</v>
      </c>
      <c r="F19" s="42" t="s">
        <v>103</v>
      </c>
      <c r="H19" s="254"/>
      <c r="I19" s="43">
        <v>1300001</v>
      </c>
      <c r="J19" s="44" t="s">
        <v>75</v>
      </c>
      <c r="K19" s="45">
        <v>4100000</v>
      </c>
      <c r="L19" s="42" t="s">
        <v>105</v>
      </c>
      <c r="N19" s="254"/>
      <c r="O19" s="43">
        <v>1300001</v>
      </c>
      <c r="P19" s="44" t="s">
        <v>75</v>
      </c>
      <c r="Q19" s="45">
        <v>4100000</v>
      </c>
      <c r="R19" s="42" t="s">
        <v>107</v>
      </c>
    </row>
    <row r="20" spans="2:18" ht="12.75">
      <c r="B20" s="254"/>
      <c r="C20" s="43">
        <v>4100001</v>
      </c>
      <c r="D20" s="44" t="s">
        <v>60</v>
      </c>
      <c r="E20" s="45">
        <v>7700000</v>
      </c>
      <c r="F20" s="42" t="s">
        <v>108</v>
      </c>
      <c r="H20" s="254"/>
      <c r="I20" s="43">
        <v>4100001</v>
      </c>
      <c r="J20" s="44" t="s">
        <v>60</v>
      </c>
      <c r="K20" s="45">
        <v>7700000</v>
      </c>
      <c r="L20" s="42" t="s">
        <v>110</v>
      </c>
      <c r="N20" s="254"/>
      <c r="O20" s="43">
        <v>4100001</v>
      </c>
      <c r="P20" s="44" t="s">
        <v>60</v>
      </c>
      <c r="Q20" s="45">
        <v>7700000</v>
      </c>
      <c r="R20" s="42" t="s">
        <v>111</v>
      </c>
    </row>
    <row r="21" spans="2:18" ht="12.75">
      <c r="B21" s="254"/>
      <c r="C21" s="43">
        <v>7700001</v>
      </c>
      <c r="D21" s="44" t="s">
        <v>60</v>
      </c>
      <c r="E21" s="45">
        <v>10000000</v>
      </c>
      <c r="F21" s="42" t="s">
        <v>112</v>
      </c>
      <c r="H21" s="254"/>
      <c r="I21" s="43">
        <v>7700001</v>
      </c>
      <c r="J21" s="44" t="s">
        <v>60</v>
      </c>
      <c r="K21" s="45">
        <v>10000000</v>
      </c>
      <c r="L21" s="42" t="s">
        <v>114</v>
      </c>
      <c r="N21" s="254"/>
      <c r="O21" s="43">
        <v>7700001</v>
      </c>
      <c r="P21" s="44" t="s">
        <v>60</v>
      </c>
      <c r="Q21" s="45">
        <v>10000000</v>
      </c>
      <c r="R21" s="42" t="s">
        <v>115</v>
      </c>
    </row>
    <row r="22" spans="2:18" ht="12.75">
      <c r="B22" s="255"/>
      <c r="C22" s="43">
        <v>10000001</v>
      </c>
      <c r="D22" s="44" t="s">
        <v>75</v>
      </c>
      <c r="E22" s="45"/>
      <c r="F22" s="42" t="s">
        <v>116</v>
      </c>
      <c r="H22" s="255"/>
      <c r="I22" s="43">
        <v>10000001</v>
      </c>
      <c r="J22" s="44" t="s">
        <v>75</v>
      </c>
      <c r="K22" s="45"/>
      <c r="L22" s="42" t="s">
        <v>118</v>
      </c>
      <c r="N22" s="255"/>
      <c r="O22" s="43">
        <v>10000001</v>
      </c>
      <c r="P22" s="44" t="s">
        <v>75</v>
      </c>
      <c r="Q22" s="45"/>
      <c r="R22" s="42" t="s">
        <v>120</v>
      </c>
    </row>
    <row r="24" ht="12.75">
      <c r="B24" t="s">
        <v>134</v>
      </c>
    </row>
    <row r="25" ht="12.75">
      <c r="B25" t="s">
        <v>135</v>
      </c>
    </row>
    <row r="26" ht="12.75">
      <c r="B26" t="s">
        <v>136</v>
      </c>
    </row>
    <row r="28" ht="12.75">
      <c r="B28" t="s">
        <v>137</v>
      </c>
    </row>
    <row r="30" spans="3:8" ht="12.75">
      <c r="C30" t="str">
        <f>J6</f>
        <v>1,000万円以下</v>
      </c>
      <c r="F30" t="str">
        <f>J7</f>
        <v>1,000万円超2,000万円以下</v>
      </c>
      <c r="H30" t="str">
        <f>J8</f>
        <v>2,000万円超</v>
      </c>
    </row>
    <row r="31" spans="2:8" ht="12.75">
      <c r="B31" t="s">
        <v>38</v>
      </c>
      <c r="C31" t="e">
        <f>IF(AND($F$6=$H$6,$F$7=$J$6,$F$5&gt;=C13,$F$5&lt;=E13),1100000,0)</f>
        <v>#N/A</v>
      </c>
      <c r="F31" t="e">
        <f>IF(AND($F$6=$H$6,$F$7=$J$7,$F$5&gt;=I13,$F$5&lt;=K13),1000000,0)</f>
        <v>#N/A</v>
      </c>
      <c r="H31" t="e">
        <f>IF(AND($F$6=$H$6,$F$7=$J$8,$F$5&gt;=O13,$F$5&lt;=Q13),900000,0)</f>
        <v>#N/A</v>
      </c>
    </row>
    <row r="32" spans="3:8" ht="12.75">
      <c r="C32" t="e">
        <f>IF(AND($F$6=$H$6,$F$7=$J$6,$F$5&gt;=C14,$F$5&lt;=E14),ROUNDUP($F$5*0.25+275000,0),0)</f>
        <v>#N/A</v>
      </c>
      <c r="F32" t="e">
        <f>IF(AND($F$6=$H$6,$F$7=$J$7,$F$5&gt;=I14,$F$5&lt;=K14),ROUNDUP($F$5*0.25+175000,0),0)</f>
        <v>#N/A</v>
      </c>
      <c r="H32" t="e">
        <f>IF(AND($F$6=$H$6,$F$7=$J$8,$F$5&gt;=O14,$F$5&lt;=Q14),ROUNDUP($F$5*0.25+75000,0),0)</f>
        <v>#N/A</v>
      </c>
    </row>
    <row r="33" spans="3:8" ht="12.75">
      <c r="C33" t="e">
        <f>IF(AND($F$6=$H$6,$F$7=$J$6,$F$5&gt;=C15,$F$5&lt;=E15),ROUNDUP($F$5*0.15+685000,0),0)</f>
        <v>#N/A</v>
      </c>
      <c r="F33" t="e">
        <f>IF(AND($F$6=$H$6,$F$7=$J$7,$F$5&gt;=I15,$F$5&lt;=K15),ROUNDUP($F$5*0.15+585000,0),0)</f>
        <v>#N/A</v>
      </c>
      <c r="H33" t="e">
        <f>IF(AND($F$6=$H$6,$F$7=$J$8,$F$5&gt;=O15,$F$5&lt;=Q15),ROUNDUP($F$5*0.15+485000,0),0)</f>
        <v>#N/A</v>
      </c>
    </row>
    <row r="34" spans="3:8" ht="12.75">
      <c r="C34" t="e">
        <f>IF(AND($F$6=$H$6,$F$7=$J$6,$F$5&gt;=C16,$F$5&lt;=E16),ROUNDUP($F$5*0.05+1455000,0),0)</f>
        <v>#N/A</v>
      </c>
      <c r="F34" t="e">
        <f>IF(AND($F$6=$H$6,$F$7=$J$7,$F$5&gt;=I16,$F$5&lt;=K16),ROUNDUP($F$5*0.05+1355000,0),0)</f>
        <v>#N/A</v>
      </c>
      <c r="H34" t="e">
        <f>IF(AND($F$6=$H$6,$F$7=$J$8,$F$5&gt;=O16,$F$5&lt;=Q16),ROUNDUP($F$5*0.05+1255000,0),0)</f>
        <v>#N/A</v>
      </c>
    </row>
    <row r="35" spans="3:8" ht="12.75">
      <c r="C35" t="e">
        <f>IF(AND($F$6=$H$6,$F$7=$J$6,$F$5&gt;=C17),1955000,0)</f>
        <v>#N/A</v>
      </c>
      <c r="F35" t="e">
        <f>IF(AND($F$6=$H$6,$F$7=$J$7,$F$5&gt;=I17),1855000,0)</f>
        <v>#N/A</v>
      </c>
      <c r="H35" t="e">
        <f>IF(AND($F$6=$H$6,$F$7=$J$8,$F$5&gt;=O17),1755000,0)</f>
        <v>#N/A</v>
      </c>
    </row>
    <row r="36" spans="2:8" ht="12.75">
      <c r="B36" t="s">
        <v>92</v>
      </c>
      <c r="C36" t="e">
        <f>IF(AND($F$6=$H$7,$F$7=$J$6,$F$5&gt;=C18,$F$5&lt;=E18),600000,0)</f>
        <v>#N/A</v>
      </c>
      <c r="F36" t="e">
        <f>IF(AND($F$6=$H$7,$F$7=$J$7,$F$5&gt;=I18,$F$5&lt;=K18),500000,0)</f>
        <v>#N/A</v>
      </c>
      <c r="H36" t="e">
        <f>IF(AND($F$6=$H$7,$F$7=$J$8,$F$5&gt;=O18,$F$5&lt;=Q18),400000,0)</f>
        <v>#N/A</v>
      </c>
    </row>
    <row r="37" spans="3:8" ht="12.75">
      <c r="C37" t="e">
        <f>IF(AND($F$6=$H$7,$F$7=$J$6,$F$5&gt;=C19,$F$5&lt;=E19),ROUNDUP($F$5*0.25+275000,0),0)</f>
        <v>#N/A</v>
      </c>
      <c r="F37" t="e">
        <f>IF(AND($F$6=$H$7,$F$7=$J$7,$F$5&gt;=I19,$F$5&lt;=K19),ROUNDUP($F$5*0.25+175000,0),0)</f>
        <v>#N/A</v>
      </c>
      <c r="H37" t="e">
        <f>IF(AND($F$6=$H$7,$F$7=$J$8,$F$5&gt;=O19,$F$5&lt;=Q19),ROUNDUP($F$5*0.25+75000,0),0)</f>
        <v>#N/A</v>
      </c>
    </row>
    <row r="38" spans="3:8" ht="12.75">
      <c r="C38" t="e">
        <f>IF(AND($F$6=$H$7,$F$7=$J$6,$F$5&gt;=C20,$F$5&lt;=E20),ROUNDUP($F$5*0.15+685000,0),0)</f>
        <v>#N/A</v>
      </c>
      <c r="F38" t="e">
        <f>IF(AND($F$6=$H$7,$F$7=$J$7,$F$5&gt;=I20,$F$5&lt;=K20),ROUNDUP($F$5*0.15+585000,0),0)</f>
        <v>#N/A</v>
      </c>
      <c r="H38" t="e">
        <f>IF(AND($F$6=$H$7,$F$7=$J$8,$F$5&gt;=O20,$F$5&lt;=Q20),ROUNDUP($F$5*0.15+485000,0),0)</f>
        <v>#N/A</v>
      </c>
    </row>
    <row r="39" spans="3:8" ht="12.75">
      <c r="C39" t="e">
        <f>IF(AND($F$6=$H$7,$F$7=$J$6,$F$5&gt;=C21,$F$5&lt;=E21),ROUNDUP($F$5*0.05+1455000,0),0)</f>
        <v>#N/A</v>
      </c>
      <c r="F39" t="e">
        <f>IF(AND($F$6=$H$7,$F$7=$J$7,$F$5&gt;=I21,$F$5&lt;=K21),ROUNDUP($F$5*0.05+1355000,0),0)</f>
        <v>#N/A</v>
      </c>
      <c r="H39" t="e">
        <f>IF(AND($F$6=$H$7,$F$7=$J$8,$F$5&gt;=O21,$F$5&lt;=Q21),ROUNDUP($F$5*0.05+1255000,0),0)</f>
        <v>#N/A</v>
      </c>
    </row>
    <row r="40" spans="3:8" ht="12.75">
      <c r="C40" t="e">
        <f>IF(AND($F$6=$H$7,$F$7=$J$6,$F$5&gt;=C22),1955000,0)</f>
        <v>#N/A</v>
      </c>
      <c r="F40" t="e">
        <f>IF(AND($F$6=$H$7,$F$7=$J$7,$F$5&gt;=I22),1855000,0)</f>
        <v>#N/A</v>
      </c>
      <c r="H40" t="e">
        <f>IF(AND($F$6=$H$7,$F$7=$J$8,$F$5&gt;=O22),1755000,0)</f>
        <v>#N/A</v>
      </c>
    </row>
    <row r="42" spans="2:10" ht="12.75">
      <c r="B42" t="s">
        <v>138</v>
      </c>
      <c r="C42" t="e">
        <f>SUM(C31:C41)</f>
        <v>#N/A</v>
      </c>
      <c r="F42" t="e">
        <f>SUM(F31:F41)</f>
        <v>#N/A</v>
      </c>
      <c r="H42" t="e">
        <f>SUM(H31:H41)</f>
        <v>#N/A</v>
      </c>
      <c r="J42" t="e">
        <f>SUM(C42:H42)</f>
        <v>#N/A</v>
      </c>
    </row>
    <row r="43" spans="2:6" ht="39">
      <c r="B43" s="46" t="s">
        <v>139</v>
      </c>
      <c r="C43" t="e">
        <f>MAX($F$5-J42,0)</f>
        <v>#N/A</v>
      </c>
      <c r="E43">
        <v>100000</v>
      </c>
      <c r="F43" t="s">
        <v>84</v>
      </c>
    </row>
    <row r="47" ht="12.75">
      <c r="A47" t="s">
        <v>140</v>
      </c>
    </row>
    <row r="49" spans="2:3" ht="12.75">
      <c r="B49" s="83" t="e">
        <f>'加入者(3)'!F19+'加入者(3)'!F20-100000</f>
        <v>#N/A</v>
      </c>
      <c r="C49" t="s">
        <v>0</v>
      </c>
    </row>
    <row r="51" spans="2:8" ht="12.75">
      <c r="B51" t="s">
        <v>148</v>
      </c>
      <c r="C51" t="s">
        <v>149</v>
      </c>
      <c r="E51" t="s">
        <v>141</v>
      </c>
      <c r="F51" t="s">
        <v>4</v>
      </c>
      <c r="G51" t="s">
        <v>158</v>
      </c>
      <c r="H51" t="s">
        <v>159</v>
      </c>
    </row>
    <row r="52" spans="2:9" ht="12.75">
      <c r="B52" t="s">
        <v>26</v>
      </c>
      <c r="C52" t="s">
        <v>92</v>
      </c>
      <c r="E52" s="85">
        <f>'計算シート13'!J10</f>
        <v>0</v>
      </c>
      <c r="F52" s="86">
        <f>'HP用'!G20</f>
        <v>0</v>
      </c>
      <c r="G52" s="35">
        <f>E52+F52</f>
        <v>0</v>
      </c>
      <c r="H52">
        <v>10000000</v>
      </c>
      <c r="I52" t="s">
        <v>40</v>
      </c>
    </row>
    <row r="53" spans="2:9" ht="12.75">
      <c r="B53" t="s">
        <v>146</v>
      </c>
      <c r="C53" t="s">
        <v>92</v>
      </c>
      <c r="H53">
        <v>10000001</v>
      </c>
      <c r="I53" t="s">
        <v>93</v>
      </c>
    </row>
    <row r="54" spans="2:9" ht="12.75">
      <c r="B54" t="s">
        <v>25</v>
      </c>
      <c r="C54" t="s">
        <v>38</v>
      </c>
      <c r="H54">
        <v>20000001</v>
      </c>
      <c r="I54" t="s">
        <v>94</v>
      </c>
    </row>
  </sheetData>
  <sheetProtection/>
  <mergeCells count="9">
    <mergeCell ref="O12:Q12"/>
    <mergeCell ref="B13:B17"/>
    <mergeCell ref="H13:H17"/>
    <mergeCell ref="N13:N17"/>
    <mergeCell ref="B18:B22"/>
    <mergeCell ref="H18:H22"/>
    <mergeCell ref="N18:N22"/>
    <mergeCell ref="C12:E12"/>
    <mergeCell ref="I12:K12"/>
  </mergeCells>
  <printOptions/>
  <pageMargins left="0.7" right="0.7" top="0.75" bottom="0.75" header="0.3" footer="0.3"/>
  <pageSetup horizontalDpi="600" verticalDpi="600" orientation="portrait" paperSize="9" scale="39" r:id="rId1"/>
</worksheet>
</file>

<file path=xl/worksheets/sheet12.xml><?xml version="1.0" encoding="utf-8"?>
<worksheet xmlns="http://schemas.openxmlformats.org/spreadsheetml/2006/main" xmlns:r="http://schemas.openxmlformats.org/officeDocument/2006/relationships">
  <sheetPr codeName="Sheet13">
    <tabColor rgb="FFFFFF00"/>
  </sheetPr>
  <dimension ref="A1:G26"/>
  <sheetViews>
    <sheetView view="pageBreakPreview" zoomScaleSheetLayoutView="100" zoomScalePageLayoutView="0" workbookViewId="0" topLeftCell="A25">
      <selection activeCell="F9" sqref="F9:G9"/>
    </sheetView>
  </sheetViews>
  <sheetFormatPr defaultColWidth="9.140625" defaultRowHeight="15"/>
  <cols>
    <col min="1" max="1" width="3.7109375" style="0" customWidth="1"/>
    <col min="3" max="3" width="11.8515625" style="0" customWidth="1"/>
    <col min="4" max="4" width="11.28125" style="0" customWidth="1"/>
    <col min="5" max="5" width="14.8515625" style="0" customWidth="1"/>
    <col min="6" max="6" width="31.140625" style="0" customWidth="1"/>
    <col min="7" max="7" width="7.140625" style="0" customWidth="1"/>
  </cols>
  <sheetData>
    <row r="1" spans="1:7" ht="29.25" customHeight="1">
      <c r="A1" s="47" t="s">
        <v>34</v>
      </c>
      <c r="B1" s="48"/>
      <c r="C1" s="48"/>
      <c r="D1" s="48"/>
      <c r="E1" s="48"/>
      <c r="F1" s="48"/>
      <c r="G1" s="48"/>
    </row>
    <row r="2" spans="1:7" ht="4.5" customHeight="1">
      <c r="A2" s="47"/>
      <c r="B2" s="48"/>
      <c r="C2" s="48"/>
      <c r="D2" s="48"/>
      <c r="E2" s="48"/>
      <c r="F2" s="48"/>
      <c r="G2" s="48"/>
    </row>
    <row r="3" spans="1:7" ht="21" customHeight="1">
      <c r="A3" s="48"/>
      <c r="B3" s="48" t="s">
        <v>154</v>
      </c>
      <c r="C3" s="48"/>
      <c r="D3" s="48"/>
      <c r="E3" s="240" t="s">
        <v>155</v>
      </c>
      <c r="F3" s="240"/>
      <c r="G3" s="48"/>
    </row>
    <row r="4" spans="1:7" ht="21" customHeight="1">
      <c r="A4" s="48"/>
      <c r="B4" s="48" t="s">
        <v>153</v>
      </c>
      <c r="C4" s="48"/>
      <c r="D4" s="48"/>
      <c r="E4" s="49"/>
      <c r="F4" s="48"/>
      <c r="G4" s="48"/>
    </row>
    <row r="5" spans="1:7" ht="19.5" customHeight="1">
      <c r="A5" s="50" t="s">
        <v>157</v>
      </c>
      <c r="B5" s="48"/>
      <c r="C5" s="48"/>
      <c r="D5" s="48"/>
      <c r="E5" s="48"/>
      <c r="F5" s="48"/>
      <c r="G5" s="48"/>
    </row>
    <row r="6" spans="1:7" ht="28.5" customHeight="1">
      <c r="A6" s="48"/>
      <c r="B6" s="51" t="s">
        <v>35</v>
      </c>
      <c r="C6" s="52"/>
      <c r="D6" s="52"/>
      <c r="E6" s="52"/>
      <c r="F6" s="53">
        <f>'HP用'!E21</f>
        <v>0</v>
      </c>
      <c r="G6" s="54" t="s">
        <v>0</v>
      </c>
    </row>
    <row r="7" spans="1:7" ht="28.5" customHeight="1">
      <c r="A7" s="48"/>
      <c r="B7" s="51" t="s">
        <v>36</v>
      </c>
      <c r="C7" s="52"/>
      <c r="D7" s="52"/>
      <c r="E7" s="52"/>
      <c r="F7" s="53">
        <f>'HP用'!F21</f>
        <v>0</v>
      </c>
      <c r="G7" s="54" t="s">
        <v>0</v>
      </c>
    </row>
    <row r="8" spans="1:7" ht="28.5" customHeight="1">
      <c r="A8" s="48"/>
      <c r="B8" s="55" t="s">
        <v>37</v>
      </c>
      <c r="C8" s="56"/>
      <c r="D8" s="56"/>
      <c r="E8" s="56"/>
      <c r="F8" s="241" t="e">
        <f>VLOOKUP('HP用'!D21,'計算シート24'!$B$52:$C$54,2,1)</f>
        <v>#N/A</v>
      </c>
      <c r="G8" s="242"/>
    </row>
    <row r="9" spans="1:7" ht="28.5" customHeight="1">
      <c r="A9" s="48"/>
      <c r="B9" s="243" t="s">
        <v>39</v>
      </c>
      <c r="C9" s="243"/>
      <c r="D9" s="243"/>
      <c r="E9" s="243"/>
      <c r="F9" s="244" t="str">
        <f>_xlfn.IFERROR(VLOOKUP('計算シート24'!G52,'計算シート24'!$H$52:$I$54,2,1),"1,000万円以下")</f>
        <v>1,000万円以下</v>
      </c>
      <c r="G9" s="244"/>
    </row>
    <row r="10" spans="1:7" ht="4.5" customHeight="1">
      <c r="A10" s="48"/>
      <c r="B10" s="48"/>
      <c r="C10" s="48"/>
      <c r="D10" s="48"/>
      <c r="E10" s="48"/>
      <c r="F10" s="48"/>
      <c r="G10" s="48"/>
    </row>
    <row r="11" spans="1:7" ht="19.5" customHeight="1">
      <c r="A11" s="50"/>
      <c r="B11" s="57" t="s">
        <v>41</v>
      </c>
      <c r="C11" s="48"/>
      <c r="D11" s="48"/>
      <c r="E11" s="48"/>
      <c r="F11" s="48"/>
      <c r="G11" s="48"/>
    </row>
    <row r="12" spans="1:7" ht="19.5" customHeight="1">
      <c r="A12" s="50"/>
      <c r="B12" s="57"/>
      <c r="C12" s="48"/>
      <c r="D12" s="48"/>
      <c r="E12" s="48"/>
      <c r="F12" s="48"/>
      <c r="G12" s="48"/>
    </row>
    <row r="13" spans="1:7" ht="19.5" customHeight="1">
      <c r="A13" s="50" t="s">
        <v>156</v>
      </c>
      <c r="B13" s="57"/>
      <c r="C13" s="48"/>
      <c r="D13" s="48"/>
      <c r="E13" s="48"/>
      <c r="F13" s="48"/>
      <c r="G13" s="48"/>
    </row>
    <row r="14" spans="1:7" ht="90" customHeight="1">
      <c r="A14" s="50"/>
      <c r="B14" s="235" t="s">
        <v>142</v>
      </c>
      <c r="C14" s="236"/>
      <c r="D14" s="236"/>
      <c r="E14" s="237"/>
      <c r="F14" s="238">
        <f>_xlfn.IFERROR('HP用'!C21,"非該当")</f>
        <v>0</v>
      </c>
      <c r="G14" s="239"/>
    </row>
    <row r="15" spans="1:7" ht="28.5" customHeight="1">
      <c r="A15" s="50"/>
      <c r="B15" s="232" t="s">
        <v>42</v>
      </c>
      <c r="C15" s="233"/>
      <c r="D15" s="233"/>
      <c r="E15" s="234"/>
      <c r="F15" s="58" t="str">
        <f>'計算シート14'!I12</f>
        <v>0</v>
      </c>
      <c r="G15" s="59" t="s">
        <v>0</v>
      </c>
    </row>
    <row r="16" spans="1:7" ht="19.5" customHeight="1">
      <c r="A16" s="48"/>
      <c r="B16" s="48"/>
      <c r="C16" s="48"/>
      <c r="D16" s="48"/>
      <c r="E16" s="48"/>
      <c r="F16" s="48"/>
      <c r="G16" s="48"/>
    </row>
    <row r="17" spans="1:7" ht="19.5" customHeight="1">
      <c r="A17" s="50" t="s">
        <v>43</v>
      </c>
      <c r="B17" s="48"/>
      <c r="C17" s="48"/>
      <c r="D17" s="48"/>
      <c r="E17" s="48"/>
      <c r="F17" s="48"/>
      <c r="G17" s="48"/>
    </row>
    <row r="18" spans="1:7" ht="10.5" customHeight="1">
      <c r="A18" s="48"/>
      <c r="B18" s="48"/>
      <c r="C18" s="48"/>
      <c r="D18" s="48"/>
      <c r="E18" s="48"/>
      <c r="F18" s="48"/>
      <c r="G18" s="48"/>
    </row>
    <row r="19" spans="1:7" ht="28.5" customHeight="1">
      <c r="A19" s="48"/>
      <c r="B19" s="51" t="s">
        <v>44</v>
      </c>
      <c r="C19" s="52"/>
      <c r="D19" s="52"/>
      <c r="E19" s="52"/>
      <c r="F19" s="60">
        <f>IF('計算シート14'!C34&lt;=100000,'計算シート14'!C34,'計算シート14'!E34)</f>
        <v>0</v>
      </c>
      <c r="G19" s="54" t="s">
        <v>0</v>
      </c>
    </row>
    <row r="20" spans="1:7" ht="28.5" customHeight="1" thickBot="1">
      <c r="A20" s="48"/>
      <c r="B20" s="51" t="s">
        <v>45</v>
      </c>
      <c r="C20" s="52"/>
      <c r="D20" s="52"/>
      <c r="E20" s="52"/>
      <c r="F20" s="60" t="e">
        <f>IF('計算シート24'!C43&lt;=100000,'計算シート24'!C43,'計算シート24'!E43)</f>
        <v>#N/A</v>
      </c>
      <c r="G20" s="54" t="s">
        <v>0</v>
      </c>
    </row>
    <row r="21" spans="1:7" ht="28.5" customHeight="1" thickTop="1">
      <c r="A21" s="48"/>
      <c r="B21" s="61" t="s">
        <v>46</v>
      </c>
      <c r="C21" s="62"/>
      <c r="D21" s="62"/>
      <c r="E21" s="62"/>
      <c r="F21" s="63" t="e">
        <f>IF('計算シート24'!B49&gt;=0,'計算シート24'!B49,0)</f>
        <v>#N/A</v>
      </c>
      <c r="G21" s="64" t="s">
        <v>0</v>
      </c>
    </row>
    <row r="22" spans="1:7" ht="12.75">
      <c r="A22" s="48"/>
      <c r="B22" s="48"/>
      <c r="C22" s="48"/>
      <c r="D22" s="48"/>
      <c r="E22" s="48"/>
      <c r="F22" s="48"/>
      <c r="G22" s="48"/>
    </row>
    <row r="23" spans="1:7" ht="19.5" customHeight="1">
      <c r="A23" s="50" t="s">
        <v>47</v>
      </c>
      <c r="B23" s="48"/>
      <c r="C23" s="48"/>
      <c r="D23" s="48"/>
      <c r="E23" s="48"/>
      <c r="F23" s="48"/>
      <c r="G23" s="48"/>
    </row>
    <row r="24" spans="1:7" ht="28.5" customHeight="1">
      <c r="A24" s="48"/>
      <c r="B24" s="55" t="s">
        <v>48</v>
      </c>
      <c r="C24" s="56"/>
      <c r="D24" s="56"/>
      <c r="E24" s="65"/>
      <c r="F24" s="80" t="str">
        <f>_xlfn.IFERROR('計算シート14'!C34-('加入者(4)'!F15+'加入者(4)'!F21),"0")</f>
        <v>0</v>
      </c>
      <c r="G24" s="65" t="s">
        <v>0</v>
      </c>
    </row>
    <row r="25" spans="1:7" ht="28.5" customHeight="1" thickBot="1">
      <c r="A25" s="48"/>
      <c r="B25" s="66" t="s">
        <v>49</v>
      </c>
      <c r="C25" s="67"/>
      <c r="D25" s="67"/>
      <c r="E25" s="68"/>
      <c r="F25" s="79" t="str">
        <f>_xlfn.IFERROR('計算シート24'!C43,"0")</f>
        <v>0</v>
      </c>
      <c r="G25" s="68" t="s">
        <v>0</v>
      </c>
    </row>
    <row r="26" spans="1:7" ht="28.5" customHeight="1" thickTop="1">
      <c r="A26" s="48"/>
      <c r="B26" s="69" t="s">
        <v>50</v>
      </c>
      <c r="C26" s="70"/>
      <c r="D26" s="70"/>
      <c r="E26" s="71"/>
      <c r="F26" s="72">
        <f>F24+F25</f>
        <v>0</v>
      </c>
      <c r="G26" s="71" t="s">
        <v>0</v>
      </c>
    </row>
  </sheetData>
  <sheetProtection/>
  <mergeCells count="7">
    <mergeCell ref="B15:E15"/>
    <mergeCell ref="E3:F3"/>
    <mergeCell ref="F8:G8"/>
    <mergeCell ref="B9:E9"/>
    <mergeCell ref="F9:G9"/>
    <mergeCell ref="B14:E14"/>
    <mergeCell ref="F14:G14"/>
  </mergeCells>
  <printOptions/>
  <pageMargins left="0.7" right="0.48" top="0.73" bottom="0.47" header="0.3" footer="0.3"/>
  <pageSetup horizontalDpi="600" verticalDpi="600" orientation="portrait" paperSize="9" scale="97" r:id="rId2"/>
  <drawing r:id="rId1"/>
</worksheet>
</file>

<file path=xl/worksheets/sheet13.xml><?xml version="1.0" encoding="utf-8"?>
<worksheet xmlns="http://schemas.openxmlformats.org/spreadsheetml/2006/main" xmlns:r="http://schemas.openxmlformats.org/officeDocument/2006/relationships">
  <sheetPr codeName="Sheet12"/>
  <dimension ref="A1:L41"/>
  <sheetViews>
    <sheetView zoomScalePageLayoutView="0" workbookViewId="0" topLeftCell="A34">
      <selection activeCell="I10" sqref="I10"/>
    </sheetView>
  </sheetViews>
  <sheetFormatPr defaultColWidth="9.140625" defaultRowHeight="15"/>
  <cols>
    <col min="1" max="1" width="12.140625" style="0" customWidth="1"/>
    <col min="2" max="2" width="4.8515625" style="0" customWidth="1"/>
    <col min="3" max="3" width="14.7109375" style="0" customWidth="1"/>
    <col min="4" max="4" width="12.8515625" style="0" customWidth="1"/>
    <col min="5" max="5" width="16.28125" style="0" customWidth="1"/>
    <col min="6" max="7" width="14.7109375" style="0" customWidth="1"/>
    <col min="8" max="8" width="4.421875" style="0" customWidth="1"/>
    <col min="9" max="9" width="25.00390625" style="34" customWidth="1"/>
    <col min="10" max="10" width="25.00390625" style="0" customWidth="1"/>
    <col min="11" max="13" width="14.7109375" style="0" customWidth="1"/>
    <col min="14" max="18" width="9.00390625" style="0" customWidth="1"/>
  </cols>
  <sheetData>
    <row r="1" ht="12.75">
      <c r="A1" t="s">
        <v>51</v>
      </c>
    </row>
    <row r="3" spans="1:12" ht="12.75">
      <c r="A3" t="s">
        <v>52</v>
      </c>
      <c r="I3" s="245" t="s">
        <v>53</v>
      </c>
      <c r="J3" s="245"/>
      <c r="K3" s="245"/>
      <c r="L3" s="245"/>
    </row>
    <row r="4" spans="9:12" ht="12.75">
      <c r="I4" s="245" t="s">
        <v>54</v>
      </c>
      <c r="J4" s="245"/>
      <c r="K4" s="245"/>
      <c r="L4" s="245"/>
    </row>
    <row r="5" spans="1:12" ht="12.75">
      <c r="A5" t="s">
        <v>35</v>
      </c>
      <c r="E5" s="83">
        <f>IF('加入者(4)'!F6="","",'加入者(4)'!F6)</f>
        <v>0</v>
      </c>
      <c r="F5" t="s">
        <v>0</v>
      </c>
      <c r="I5" s="245" t="s">
        <v>55</v>
      </c>
      <c r="J5" s="245"/>
      <c r="K5" s="245"/>
      <c r="L5" s="245"/>
    </row>
    <row r="6" spans="9:12" ht="12.75">
      <c r="I6" s="245" t="s">
        <v>56</v>
      </c>
      <c r="J6" s="245"/>
      <c r="K6" s="245"/>
      <c r="L6" s="245"/>
    </row>
    <row r="7" spans="1:12" ht="12.75">
      <c r="A7" t="s">
        <v>57</v>
      </c>
      <c r="D7" t="s">
        <v>58</v>
      </c>
      <c r="I7" s="245" t="s">
        <v>59</v>
      </c>
      <c r="J7" s="245"/>
      <c r="K7" s="245"/>
      <c r="L7" s="245"/>
    </row>
    <row r="8" spans="9:10" ht="12.75">
      <c r="I8" s="34" t="s">
        <v>143</v>
      </c>
      <c r="J8" t="s">
        <v>144</v>
      </c>
    </row>
    <row r="9" spans="1:12" ht="13.5" customHeight="1">
      <c r="A9">
        <v>1</v>
      </c>
      <c r="B9" t="s">
        <v>60</v>
      </c>
      <c r="C9" s="35">
        <v>550999</v>
      </c>
      <c r="D9" t="s">
        <v>61</v>
      </c>
      <c r="I9" s="34" t="s">
        <v>62</v>
      </c>
      <c r="J9" s="246" t="s">
        <v>63</v>
      </c>
      <c r="K9" s="246"/>
      <c r="L9" s="36"/>
    </row>
    <row r="10" spans="1:12" ht="12.75">
      <c r="A10" s="35">
        <v>551000</v>
      </c>
      <c r="B10" t="s">
        <v>60</v>
      </c>
      <c r="C10" s="35">
        <v>1618999</v>
      </c>
      <c r="D10" t="s">
        <v>64</v>
      </c>
      <c r="I10" s="84" t="b">
        <f>IF('加入者(4)'!F14="該当",E5)</f>
        <v>0</v>
      </c>
      <c r="J10" s="37">
        <f>C34</f>
        <v>0</v>
      </c>
      <c r="K10" s="38"/>
      <c r="L10" s="36"/>
    </row>
    <row r="11" spans="1:12" ht="12.75">
      <c r="A11" s="35">
        <v>1619000</v>
      </c>
      <c r="B11" t="s">
        <v>60</v>
      </c>
      <c r="C11" s="35">
        <v>1619999</v>
      </c>
      <c r="D11" t="s">
        <v>65</v>
      </c>
      <c r="I11" s="34" t="s">
        <v>66</v>
      </c>
      <c r="J11" s="36"/>
      <c r="K11" s="36"/>
      <c r="L11" s="36"/>
    </row>
    <row r="12" spans="1:12" ht="12.75">
      <c r="A12" s="35">
        <v>1620000</v>
      </c>
      <c r="B12" t="s">
        <v>60</v>
      </c>
      <c r="C12" s="35">
        <v>1621999</v>
      </c>
      <c r="D12" t="s">
        <v>67</v>
      </c>
      <c r="I12" s="39" t="str">
        <f>_xlfn.IFERROR(VLOOKUP(I10,$J$20:$L$21,3,1),"0")</f>
        <v>0</v>
      </c>
      <c r="J12" s="36"/>
      <c r="K12" s="38"/>
      <c r="L12" s="36"/>
    </row>
    <row r="13" spans="1:10" ht="12.75">
      <c r="A13" s="35">
        <v>1622000</v>
      </c>
      <c r="B13" t="s">
        <v>60</v>
      </c>
      <c r="C13" s="35">
        <v>1623999</v>
      </c>
      <c r="D13" t="s">
        <v>68</v>
      </c>
      <c r="I13" s="245" t="s">
        <v>69</v>
      </c>
      <c r="J13" s="245"/>
    </row>
    <row r="14" spans="1:12" ht="12.75">
      <c r="A14" s="35">
        <v>1624000</v>
      </c>
      <c r="B14" t="s">
        <v>60</v>
      </c>
      <c r="C14" s="35">
        <v>1627999</v>
      </c>
      <c r="D14" t="s">
        <v>70</v>
      </c>
      <c r="I14" s="34">
        <f>_xlfn.IFERROR(J10-I12,"0")</f>
        <v>0</v>
      </c>
      <c r="J14" s="36"/>
      <c r="K14" s="36"/>
      <c r="L14" s="36"/>
    </row>
    <row r="15" spans="1:12" ht="12.75">
      <c r="A15" s="35">
        <v>1628000</v>
      </c>
      <c r="B15" t="s">
        <v>60</v>
      </c>
      <c r="C15" s="35">
        <v>1799999</v>
      </c>
      <c r="D15" t="s">
        <v>71</v>
      </c>
      <c r="I15" s="40"/>
      <c r="J15" s="36"/>
      <c r="K15" s="38"/>
      <c r="L15" s="38"/>
    </row>
    <row r="16" spans="1:12" ht="12.75">
      <c r="A16" s="35">
        <v>1800000</v>
      </c>
      <c r="B16" t="s">
        <v>60</v>
      </c>
      <c r="C16" s="35">
        <v>3599999</v>
      </c>
      <c r="D16" t="s">
        <v>72</v>
      </c>
      <c r="J16" s="36"/>
      <c r="K16" s="38"/>
      <c r="L16" s="38"/>
    </row>
    <row r="17" spans="1:4" ht="12.75">
      <c r="A17" s="35">
        <v>3600000</v>
      </c>
      <c r="B17" t="s">
        <v>60</v>
      </c>
      <c r="C17" s="35">
        <v>6599999</v>
      </c>
      <c r="D17" t="s">
        <v>73</v>
      </c>
    </row>
    <row r="18" spans="1:4" ht="12.75">
      <c r="A18" s="35">
        <v>6600000</v>
      </c>
      <c r="B18" t="s">
        <v>60</v>
      </c>
      <c r="C18" s="35">
        <v>8499999</v>
      </c>
      <c r="D18" t="s">
        <v>74</v>
      </c>
    </row>
    <row r="19" spans="1:12" ht="12.75">
      <c r="A19" s="35">
        <v>8500000</v>
      </c>
      <c r="B19" t="s">
        <v>75</v>
      </c>
      <c r="D19" t="s">
        <v>76</v>
      </c>
      <c r="I19" s="34" t="s">
        <v>77</v>
      </c>
      <c r="J19" s="36" t="s">
        <v>78</v>
      </c>
      <c r="K19" s="36" t="s">
        <v>79</v>
      </c>
      <c r="L19" s="36" t="s">
        <v>80</v>
      </c>
    </row>
    <row r="20" spans="9:12" ht="12.75">
      <c r="I20" s="34" t="s">
        <v>81</v>
      </c>
      <c r="J20" s="36">
        <v>8500000</v>
      </c>
      <c r="K20" s="38" t="b">
        <f>I10</f>
        <v>0</v>
      </c>
      <c r="L20" s="38">
        <f>(K20-8500000)*0.1</f>
        <v>-850000</v>
      </c>
    </row>
    <row r="21" spans="9:12" ht="12.75">
      <c r="I21" s="34" t="s">
        <v>82</v>
      </c>
      <c r="J21" s="36">
        <v>10000001</v>
      </c>
      <c r="K21" s="38" t="b">
        <f>I10</f>
        <v>0</v>
      </c>
      <c r="L21" s="38">
        <f>(10000000-8500000)*0.1</f>
        <v>150000</v>
      </c>
    </row>
    <row r="22" ht="12.75">
      <c r="C22" t="s">
        <v>83</v>
      </c>
    </row>
    <row r="23" ht="12.75">
      <c r="C23">
        <f>IF(E5&lt;=C9,0,0)</f>
        <v>0</v>
      </c>
    </row>
    <row r="24" ht="12.75">
      <c r="C24">
        <f>IF(AND($E$5&gt;=A10,$E$5&lt;=C10),$E$5-550000,0)</f>
        <v>0</v>
      </c>
    </row>
    <row r="25" ht="12.75">
      <c r="C25">
        <f>IF(AND($E$5&gt;=A11,$E$5&lt;=C11),1069000,0)</f>
        <v>0</v>
      </c>
    </row>
    <row r="26" ht="12.75">
      <c r="C26">
        <f>IF(AND($E$5&gt;=A12,$E$5&lt;=C12),1070000,0)</f>
        <v>0</v>
      </c>
    </row>
    <row r="27" ht="12.75">
      <c r="C27">
        <f>IF(AND($E$5&gt;=A13,$E$5&lt;=C13),1072000,0)</f>
        <v>0</v>
      </c>
    </row>
    <row r="28" ht="12.75">
      <c r="C28">
        <f>IF(AND($E$5&gt;=A14,$E$5&lt;=C14),1074000,0)</f>
        <v>0</v>
      </c>
    </row>
    <row r="29" ht="12.75">
      <c r="C29">
        <f>IF(AND($E$5&gt;=A15,$E$5&lt;=C15),ROUNDDOWN($E$5/4,-3)*2.4+100000,0)</f>
        <v>0</v>
      </c>
    </row>
    <row r="30" ht="12.75">
      <c r="C30">
        <f>IF(AND($E$5&gt;=A16,$E$5&lt;=C16),ROUNDDOWN($E$5/4,-3)*2.8-80000,0)</f>
        <v>0</v>
      </c>
    </row>
    <row r="31" ht="12.75">
      <c r="C31">
        <f>IF(AND($E$5&gt;=A17,$E$5&lt;=C17),ROUNDDOWN($E$5/4,-3)*3.2-440000,0)</f>
        <v>0</v>
      </c>
    </row>
    <row r="32" ht="12.75">
      <c r="C32">
        <f>IF(AND($E$5&gt;=A18,$E$5&lt;=C18),ROUNDDOWN($E$5*0.9,0)-1100000,0)</f>
        <v>0</v>
      </c>
    </row>
    <row r="33" ht="12.75">
      <c r="C33">
        <f>IF($E$5&gt;=A19,$E$5-1950000,0)</f>
        <v>0</v>
      </c>
    </row>
    <row r="34" spans="1:6" ht="12.75">
      <c r="A34" t="s">
        <v>33</v>
      </c>
      <c r="C34">
        <f>SUM(C23:C33)</f>
        <v>0</v>
      </c>
      <c r="E34">
        <v>100000</v>
      </c>
      <c r="F34" t="s">
        <v>84</v>
      </c>
    </row>
    <row r="37" ht="12.75">
      <c r="A37" t="s">
        <v>85</v>
      </c>
    </row>
    <row r="38" ht="12.75">
      <c r="A38" t="s">
        <v>86</v>
      </c>
    </row>
    <row r="39" ht="12.75">
      <c r="A39" t="s">
        <v>55</v>
      </c>
    </row>
    <row r="40" ht="12.75">
      <c r="A40" t="s">
        <v>56</v>
      </c>
    </row>
    <row r="41" ht="12.75">
      <c r="A41" t="s">
        <v>59</v>
      </c>
    </row>
  </sheetData>
  <sheetProtection/>
  <mergeCells count="7">
    <mergeCell ref="I13:J13"/>
    <mergeCell ref="I3:L3"/>
    <mergeCell ref="I4:L4"/>
    <mergeCell ref="I5:L5"/>
    <mergeCell ref="I6:L6"/>
    <mergeCell ref="I7:L7"/>
    <mergeCell ref="J9:K9"/>
  </mergeCells>
  <printOptions/>
  <pageMargins left="0.7" right="0.7" top="0.75" bottom="0.75" header="0.3" footer="0.3"/>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1"/>
  <dimension ref="A1:R54"/>
  <sheetViews>
    <sheetView zoomScalePageLayoutView="0" workbookViewId="0" topLeftCell="A37">
      <selection activeCell="B49" sqref="B49"/>
    </sheetView>
  </sheetViews>
  <sheetFormatPr defaultColWidth="9.140625" defaultRowHeight="15"/>
  <cols>
    <col min="1" max="1" width="4.00390625" style="0" customWidth="1"/>
    <col min="2" max="2" width="13.28125" style="0" customWidth="1"/>
    <col min="3" max="3" width="13.00390625" style="0" customWidth="1"/>
    <col min="4" max="4" width="3.8515625" style="0" customWidth="1"/>
    <col min="5" max="5" width="12.140625" style="0" customWidth="1"/>
    <col min="6" max="6" width="25.421875" style="0" customWidth="1"/>
    <col min="7" max="7" width="10.8515625" style="0" customWidth="1"/>
    <col min="8" max="8" width="14.421875" style="0" customWidth="1"/>
    <col min="9" max="9" width="10.8515625" style="0" customWidth="1"/>
    <col min="10" max="10" width="9.00390625" style="0" customWidth="1"/>
    <col min="11" max="11" width="10.7109375" style="0" customWidth="1"/>
    <col min="12" max="12" width="25.140625" style="0" customWidth="1"/>
    <col min="13" max="14" width="9.00390625" style="0" customWidth="1"/>
    <col min="15" max="15" width="11.140625" style="0" customWidth="1"/>
    <col min="16" max="16" width="9.00390625" style="0" customWidth="1"/>
    <col min="17" max="17" width="11.140625" style="0" customWidth="1"/>
    <col min="18" max="18" width="24.7109375" style="0" customWidth="1"/>
  </cols>
  <sheetData>
    <row r="1" ht="12.75">
      <c r="A1" t="s">
        <v>87</v>
      </c>
    </row>
    <row r="3" ht="12.75">
      <c r="A3" t="s">
        <v>88</v>
      </c>
    </row>
    <row r="5" spans="2:7" ht="12.75">
      <c r="B5" t="s">
        <v>89</v>
      </c>
      <c r="F5" s="83">
        <f>'加入者(4)'!F7</f>
        <v>0</v>
      </c>
      <c r="G5" t="s">
        <v>0</v>
      </c>
    </row>
    <row r="6" spans="2:10" ht="12.75">
      <c r="B6" t="s">
        <v>90</v>
      </c>
      <c r="F6" s="88" t="e">
        <f>'加入者(4)'!F8</f>
        <v>#N/A</v>
      </c>
      <c r="H6" t="s">
        <v>38</v>
      </c>
      <c r="J6" t="s">
        <v>40</v>
      </c>
    </row>
    <row r="7" spans="2:10" ht="12.75">
      <c r="B7" t="s">
        <v>91</v>
      </c>
      <c r="F7" s="88" t="str">
        <f>'加入者(4)'!F9</f>
        <v>1,000万円以下</v>
      </c>
      <c r="H7" t="s">
        <v>92</v>
      </c>
      <c r="J7" t="s">
        <v>93</v>
      </c>
    </row>
    <row r="8" ht="12.75">
      <c r="J8" t="s">
        <v>94</v>
      </c>
    </row>
    <row r="10" ht="12.75">
      <c r="B10" t="s">
        <v>95</v>
      </c>
    </row>
    <row r="11" spans="2:14" ht="12.75">
      <c r="B11" t="str">
        <f>J6</f>
        <v>1,000万円以下</v>
      </c>
      <c r="H11" t="str">
        <f>J7</f>
        <v>1,000万円超2,000万円以下</v>
      </c>
      <c r="N11" t="str">
        <f>J8</f>
        <v>2,000万円超</v>
      </c>
    </row>
    <row r="12" spans="2:18" ht="29.25" customHeight="1">
      <c r="B12" s="42" t="s">
        <v>96</v>
      </c>
      <c r="C12" s="247" t="s">
        <v>97</v>
      </c>
      <c r="D12" s="248"/>
      <c r="E12" s="249"/>
      <c r="F12" s="42" t="s">
        <v>98</v>
      </c>
      <c r="H12" s="42" t="s">
        <v>96</v>
      </c>
      <c r="I12" s="247" t="s">
        <v>97</v>
      </c>
      <c r="J12" s="248"/>
      <c r="K12" s="249"/>
      <c r="L12" s="42" t="s">
        <v>98</v>
      </c>
      <c r="N12" s="42" t="s">
        <v>96</v>
      </c>
      <c r="O12" s="247" t="s">
        <v>97</v>
      </c>
      <c r="P12" s="248"/>
      <c r="Q12" s="249"/>
      <c r="R12" s="42" t="s">
        <v>98</v>
      </c>
    </row>
    <row r="13" spans="2:18" ht="12.75">
      <c r="B13" s="250" t="s">
        <v>38</v>
      </c>
      <c r="C13" s="43">
        <v>1</v>
      </c>
      <c r="D13" s="44" t="s">
        <v>75</v>
      </c>
      <c r="E13" s="45">
        <v>3300000</v>
      </c>
      <c r="F13" s="42" t="s">
        <v>99</v>
      </c>
      <c r="H13" s="250" t="s">
        <v>38</v>
      </c>
      <c r="I13" s="43">
        <v>1</v>
      </c>
      <c r="J13" s="44" t="s">
        <v>75</v>
      </c>
      <c r="K13" s="45">
        <v>3300000</v>
      </c>
      <c r="L13" s="42" t="s">
        <v>100</v>
      </c>
      <c r="N13" s="250" t="s">
        <v>38</v>
      </c>
      <c r="O13" s="43">
        <v>1</v>
      </c>
      <c r="P13" s="44" t="s">
        <v>75</v>
      </c>
      <c r="Q13" s="45">
        <v>3300000</v>
      </c>
      <c r="R13" s="42" t="s">
        <v>101</v>
      </c>
    </row>
    <row r="14" spans="2:18" ht="12.75">
      <c r="B14" s="251"/>
      <c r="C14" s="43">
        <v>3300001</v>
      </c>
      <c r="D14" s="44" t="s">
        <v>75</v>
      </c>
      <c r="E14" s="45">
        <v>4100000</v>
      </c>
      <c r="F14" s="42" t="s">
        <v>103</v>
      </c>
      <c r="H14" s="251"/>
      <c r="I14" s="43">
        <v>3300001</v>
      </c>
      <c r="J14" s="44" t="s">
        <v>75</v>
      </c>
      <c r="K14" s="45">
        <v>4100000</v>
      </c>
      <c r="L14" s="42" t="s">
        <v>105</v>
      </c>
      <c r="N14" s="251"/>
      <c r="O14" s="43">
        <v>3300001</v>
      </c>
      <c r="P14" s="44" t="s">
        <v>75</v>
      </c>
      <c r="Q14" s="45">
        <v>4100000</v>
      </c>
      <c r="R14" s="42" t="s">
        <v>107</v>
      </c>
    </row>
    <row r="15" spans="2:18" ht="12.75">
      <c r="B15" s="251"/>
      <c r="C15" s="43">
        <v>4100001</v>
      </c>
      <c r="D15" s="44" t="s">
        <v>75</v>
      </c>
      <c r="E15" s="45">
        <v>7700000</v>
      </c>
      <c r="F15" s="42" t="s">
        <v>108</v>
      </c>
      <c r="H15" s="251"/>
      <c r="I15" s="43">
        <v>4100001</v>
      </c>
      <c r="J15" s="44" t="s">
        <v>75</v>
      </c>
      <c r="K15" s="45">
        <v>7700000</v>
      </c>
      <c r="L15" s="42" t="s">
        <v>110</v>
      </c>
      <c r="N15" s="251"/>
      <c r="O15" s="43">
        <v>4100001</v>
      </c>
      <c r="P15" s="44" t="s">
        <v>75</v>
      </c>
      <c r="Q15" s="45">
        <v>7700000</v>
      </c>
      <c r="R15" s="42" t="s">
        <v>111</v>
      </c>
    </row>
    <row r="16" spans="2:18" ht="12.75">
      <c r="B16" s="251"/>
      <c r="C16" s="43">
        <v>7700001</v>
      </c>
      <c r="D16" s="44" t="s">
        <v>75</v>
      </c>
      <c r="E16" s="45">
        <v>10000000</v>
      </c>
      <c r="F16" s="42" t="s">
        <v>112</v>
      </c>
      <c r="H16" s="251"/>
      <c r="I16" s="43">
        <v>7700001</v>
      </c>
      <c r="J16" s="44" t="s">
        <v>75</v>
      </c>
      <c r="K16" s="45">
        <v>10000000</v>
      </c>
      <c r="L16" s="42" t="s">
        <v>114</v>
      </c>
      <c r="N16" s="251"/>
      <c r="O16" s="43">
        <v>7700001</v>
      </c>
      <c r="P16" s="44" t="s">
        <v>75</v>
      </c>
      <c r="Q16" s="45">
        <v>10000000</v>
      </c>
      <c r="R16" s="42" t="s">
        <v>115</v>
      </c>
    </row>
    <row r="17" spans="2:18" ht="12.75">
      <c r="B17" s="252"/>
      <c r="C17" s="43">
        <v>10000001</v>
      </c>
      <c r="D17" s="44" t="s">
        <v>75</v>
      </c>
      <c r="E17" s="45"/>
      <c r="F17" s="42" t="s">
        <v>116</v>
      </c>
      <c r="H17" s="252"/>
      <c r="I17" s="43">
        <v>10000001</v>
      </c>
      <c r="J17" s="44" t="s">
        <v>75</v>
      </c>
      <c r="K17" s="45"/>
      <c r="L17" s="42" t="s">
        <v>118</v>
      </c>
      <c r="N17" s="252"/>
      <c r="O17" s="43">
        <v>10000001</v>
      </c>
      <c r="P17" s="44" t="s">
        <v>75</v>
      </c>
      <c r="Q17" s="45"/>
      <c r="R17" s="42" t="s">
        <v>120</v>
      </c>
    </row>
    <row r="18" spans="2:18" ht="12.75">
      <c r="B18" s="253" t="s">
        <v>92</v>
      </c>
      <c r="C18" s="43">
        <v>1</v>
      </c>
      <c r="D18" s="44" t="s">
        <v>75</v>
      </c>
      <c r="E18" s="45">
        <v>1300000</v>
      </c>
      <c r="F18" s="42" t="s">
        <v>121</v>
      </c>
      <c r="H18" s="253" t="s">
        <v>92</v>
      </c>
      <c r="I18" s="43">
        <v>1</v>
      </c>
      <c r="J18" s="44" t="s">
        <v>75</v>
      </c>
      <c r="K18" s="45">
        <v>1300000</v>
      </c>
      <c r="L18" s="42" t="s">
        <v>123</v>
      </c>
      <c r="N18" s="253" t="s">
        <v>92</v>
      </c>
      <c r="O18" s="43">
        <v>1</v>
      </c>
      <c r="P18" s="44" t="s">
        <v>75</v>
      </c>
      <c r="Q18" s="45">
        <v>1300000</v>
      </c>
      <c r="R18" s="42" t="s">
        <v>124</v>
      </c>
    </row>
    <row r="19" spans="2:18" ht="12.75">
      <c r="B19" s="254"/>
      <c r="C19" s="43">
        <v>1300001</v>
      </c>
      <c r="D19" s="44" t="s">
        <v>75</v>
      </c>
      <c r="E19" s="45">
        <v>4100000</v>
      </c>
      <c r="F19" s="42" t="s">
        <v>103</v>
      </c>
      <c r="H19" s="254"/>
      <c r="I19" s="43">
        <v>1300001</v>
      </c>
      <c r="J19" s="44" t="s">
        <v>75</v>
      </c>
      <c r="K19" s="45">
        <v>4100000</v>
      </c>
      <c r="L19" s="42" t="s">
        <v>105</v>
      </c>
      <c r="N19" s="254"/>
      <c r="O19" s="43">
        <v>1300001</v>
      </c>
      <c r="P19" s="44" t="s">
        <v>75</v>
      </c>
      <c r="Q19" s="45">
        <v>4100000</v>
      </c>
      <c r="R19" s="42" t="s">
        <v>107</v>
      </c>
    </row>
    <row r="20" spans="2:18" ht="12.75">
      <c r="B20" s="254"/>
      <c r="C20" s="43">
        <v>4100001</v>
      </c>
      <c r="D20" s="44" t="s">
        <v>60</v>
      </c>
      <c r="E20" s="45">
        <v>7700000</v>
      </c>
      <c r="F20" s="42" t="s">
        <v>108</v>
      </c>
      <c r="H20" s="254"/>
      <c r="I20" s="43">
        <v>4100001</v>
      </c>
      <c r="J20" s="44" t="s">
        <v>60</v>
      </c>
      <c r="K20" s="45">
        <v>7700000</v>
      </c>
      <c r="L20" s="42" t="s">
        <v>110</v>
      </c>
      <c r="N20" s="254"/>
      <c r="O20" s="43">
        <v>4100001</v>
      </c>
      <c r="P20" s="44" t="s">
        <v>60</v>
      </c>
      <c r="Q20" s="45">
        <v>7700000</v>
      </c>
      <c r="R20" s="42" t="s">
        <v>111</v>
      </c>
    </row>
    <row r="21" spans="2:18" ht="12.75">
      <c r="B21" s="254"/>
      <c r="C21" s="43">
        <v>7700001</v>
      </c>
      <c r="D21" s="44" t="s">
        <v>60</v>
      </c>
      <c r="E21" s="45">
        <v>10000000</v>
      </c>
      <c r="F21" s="42" t="s">
        <v>112</v>
      </c>
      <c r="H21" s="254"/>
      <c r="I21" s="43">
        <v>7700001</v>
      </c>
      <c r="J21" s="44" t="s">
        <v>60</v>
      </c>
      <c r="K21" s="45">
        <v>10000000</v>
      </c>
      <c r="L21" s="42" t="s">
        <v>114</v>
      </c>
      <c r="N21" s="254"/>
      <c r="O21" s="43">
        <v>7700001</v>
      </c>
      <c r="P21" s="44" t="s">
        <v>60</v>
      </c>
      <c r="Q21" s="45">
        <v>10000000</v>
      </c>
      <c r="R21" s="42" t="s">
        <v>115</v>
      </c>
    </row>
    <row r="22" spans="2:18" ht="12.75">
      <c r="B22" s="255"/>
      <c r="C22" s="43">
        <v>10000001</v>
      </c>
      <c r="D22" s="44" t="s">
        <v>75</v>
      </c>
      <c r="E22" s="45"/>
      <c r="F22" s="42" t="s">
        <v>116</v>
      </c>
      <c r="H22" s="255"/>
      <c r="I22" s="43">
        <v>10000001</v>
      </c>
      <c r="J22" s="44" t="s">
        <v>75</v>
      </c>
      <c r="K22" s="45"/>
      <c r="L22" s="42" t="s">
        <v>118</v>
      </c>
      <c r="N22" s="255"/>
      <c r="O22" s="43">
        <v>10000001</v>
      </c>
      <c r="P22" s="44" t="s">
        <v>75</v>
      </c>
      <c r="Q22" s="45"/>
      <c r="R22" s="42" t="s">
        <v>120</v>
      </c>
    </row>
    <row r="24" ht="12.75">
      <c r="B24" t="s">
        <v>134</v>
      </c>
    </row>
    <row r="25" ht="12.75">
      <c r="B25" t="s">
        <v>135</v>
      </c>
    </row>
    <row r="26" ht="12.75">
      <c r="B26" t="s">
        <v>136</v>
      </c>
    </row>
    <row r="28" ht="12.75">
      <c r="B28" t="s">
        <v>137</v>
      </c>
    </row>
    <row r="30" spans="3:8" ht="12.75">
      <c r="C30" t="str">
        <f>J6</f>
        <v>1,000万円以下</v>
      </c>
      <c r="F30" t="str">
        <f>J7</f>
        <v>1,000万円超2,000万円以下</v>
      </c>
      <c r="H30" t="str">
        <f>J8</f>
        <v>2,000万円超</v>
      </c>
    </row>
    <row r="31" spans="2:8" ht="12.75">
      <c r="B31" t="s">
        <v>38</v>
      </c>
      <c r="C31" t="e">
        <f>IF(AND($F$6=$H$6,$F$7=$J$6,$F$5&gt;=C13,$F$5&lt;=E13),1100000,0)</f>
        <v>#N/A</v>
      </c>
      <c r="F31" t="e">
        <f>IF(AND($F$6=$H$6,$F$7=$J$7,$F$5&gt;=I13,$F$5&lt;=K13),1000000,0)</f>
        <v>#N/A</v>
      </c>
      <c r="H31" t="e">
        <f>IF(AND($F$6=$H$6,$F$7=$J$8,$F$5&gt;=O13,$F$5&lt;=Q13),900000,0)</f>
        <v>#N/A</v>
      </c>
    </row>
    <row r="32" spans="3:8" ht="12.75">
      <c r="C32" t="e">
        <f>IF(AND($F$6=$H$6,$F$7=$J$6,$F$5&gt;=C14,$F$5&lt;=E14),ROUNDUP($F$5*0.25+275000,0),0)</f>
        <v>#N/A</v>
      </c>
      <c r="F32" t="e">
        <f>IF(AND($F$6=$H$6,$F$7=$J$7,$F$5&gt;=I14,$F$5&lt;=K14),ROUNDUP($F$5*0.25+175000,0),0)</f>
        <v>#N/A</v>
      </c>
      <c r="H32" t="e">
        <f>IF(AND($F$6=$H$6,$F$7=$J$8,$F$5&gt;=O14,$F$5&lt;=Q14),ROUNDUP($F$5*0.25+75000,0),0)</f>
        <v>#N/A</v>
      </c>
    </row>
    <row r="33" spans="3:8" ht="12.75">
      <c r="C33" t="e">
        <f>IF(AND($F$6=$H$6,$F$7=$J$6,$F$5&gt;=C15,$F$5&lt;=E15),ROUNDUP($F$5*0.15+685000,0),0)</f>
        <v>#N/A</v>
      </c>
      <c r="F33" t="e">
        <f>IF(AND($F$6=$H$6,$F$7=$J$7,$F$5&gt;=I15,$F$5&lt;=K15),ROUNDUP($F$5*0.15+585000,0),0)</f>
        <v>#N/A</v>
      </c>
      <c r="H33" t="e">
        <f>IF(AND($F$6=$H$6,$F$7=$J$8,$F$5&gt;=O15,$F$5&lt;=Q15),ROUNDUP($F$5*0.15+485000,0),0)</f>
        <v>#N/A</v>
      </c>
    </row>
    <row r="34" spans="3:8" ht="12.75">
      <c r="C34" t="e">
        <f>IF(AND($F$6=$H$6,$F$7=$J$6,$F$5&gt;=C16,$F$5&lt;=E16),ROUNDUP($F$5*0.05+1455000,0),0)</f>
        <v>#N/A</v>
      </c>
      <c r="F34" t="e">
        <f>IF(AND($F$6=$H$6,$F$7=$J$7,$F$5&gt;=I16,$F$5&lt;=K16),ROUNDUP($F$5*0.05+1355000,0),0)</f>
        <v>#N/A</v>
      </c>
      <c r="H34" t="e">
        <f>IF(AND($F$6=$H$6,$F$7=$J$8,$F$5&gt;=O16,$F$5&lt;=Q16),ROUNDUP($F$5*0.05+1255000,0),0)</f>
        <v>#N/A</v>
      </c>
    </row>
    <row r="35" spans="3:8" ht="12.75">
      <c r="C35" t="e">
        <f>IF(AND($F$6=$H$6,$F$7=$J$6,$F$5&gt;=C17),1955000,0)</f>
        <v>#N/A</v>
      </c>
      <c r="F35" t="e">
        <f>IF(AND($F$6=$H$6,$F$7=$J$7,$F$5&gt;=I17),1855000,0)</f>
        <v>#N/A</v>
      </c>
      <c r="H35" t="e">
        <f>IF(AND($F$6=$H$6,$F$7=$J$8,$F$5&gt;=O17),1755000,0)</f>
        <v>#N/A</v>
      </c>
    </row>
    <row r="36" spans="2:8" ht="12.75">
      <c r="B36" t="s">
        <v>92</v>
      </c>
      <c r="C36" t="e">
        <f>IF(AND($F$6=$H$7,$F$7=$J$6,$F$5&gt;=C18,$F$5&lt;=E18),600000,0)</f>
        <v>#N/A</v>
      </c>
      <c r="F36" t="e">
        <f>IF(AND($F$6=$H$7,$F$7=$J$7,$F$5&gt;=I18,$F$5&lt;=K18),500000,0)</f>
        <v>#N/A</v>
      </c>
      <c r="H36" t="e">
        <f>IF(AND($F$6=$H$7,$F$7=$J$8,$F$5&gt;=O18,$F$5&lt;=Q18),400000,0)</f>
        <v>#N/A</v>
      </c>
    </row>
    <row r="37" spans="3:8" ht="12.75">
      <c r="C37" t="e">
        <f>IF(AND($F$6=$H$7,$F$7=$J$6,$F$5&gt;=C19,$F$5&lt;=E19),ROUNDUP($F$5*0.25+275000,0),0)</f>
        <v>#N/A</v>
      </c>
      <c r="F37" t="e">
        <f>IF(AND($F$6=$H$7,$F$7=$J$7,$F$5&gt;=I19,$F$5&lt;=K19),ROUNDUP($F$5*0.25+175000,0),0)</f>
        <v>#N/A</v>
      </c>
      <c r="H37" t="e">
        <f>IF(AND($F$6=$H$7,$F$7=$J$8,$F$5&gt;=O19,$F$5&lt;=Q19),ROUNDUP($F$5*0.25+75000,0),0)</f>
        <v>#N/A</v>
      </c>
    </row>
    <row r="38" spans="3:8" ht="12.75">
      <c r="C38" t="e">
        <f>IF(AND($F$6=$H$7,$F$7=$J$6,$F$5&gt;=C20,$F$5&lt;=E20),ROUNDUP($F$5*0.15+685000,0),0)</f>
        <v>#N/A</v>
      </c>
      <c r="F38" t="e">
        <f>IF(AND($F$6=$H$7,$F$7=$J$7,$F$5&gt;=I20,$F$5&lt;=K20),ROUNDUP($F$5*0.15+585000,0),0)</f>
        <v>#N/A</v>
      </c>
      <c r="H38" t="e">
        <f>IF(AND($F$6=$H$7,$F$7=$J$8,$F$5&gt;=O20,$F$5&lt;=Q20),ROUNDUP($F$5*0.15+485000,0),0)</f>
        <v>#N/A</v>
      </c>
    </row>
    <row r="39" spans="3:8" ht="12.75">
      <c r="C39" t="e">
        <f>IF(AND($F$6=$H$7,$F$7=$J$6,$F$5&gt;=C21,$F$5&lt;=E21),ROUNDUP($F$5*0.05+1455000,0),0)</f>
        <v>#N/A</v>
      </c>
      <c r="F39" t="e">
        <f>IF(AND($F$6=$H$7,$F$7=$J$7,$F$5&gt;=I21,$F$5&lt;=K21),ROUNDUP($F$5*0.05+1355000,0),0)</f>
        <v>#N/A</v>
      </c>
      <c r="H39" t="e">
        <f>IF(AND($F$6=$H$7,$F$7=$J$8,$F$5&gt;=O21,$F$5&lt;=Q21),ROUNDUP($F$5*0.05+1255000,0),0)</f>
        <v>#N/A</v>
      </c>
    </row>
    <row r="40" spans="3:8" ht="12.75">
      <c r="C40" t="e">
        <f>IF(AND($F$6=$H$7,$F$7=$J$6,$F$5&gt;=C22),1955000,0)</f>
        <v>#N/A</v>
      </c>
      <c r="F40" t="e">
        <f>IF(AND($F$6=$H$7,$F$7=$J$7,$F$5&gt;=I22),1855000,0)</f>
        <v>#N/A</v>
      </c>
      <c r="H40" t="e">
        <f>IF(AND($F$6=$H$7,$F$7=$J$8,$F$5&gt;=O22),1755000,0)</f>
        <v>#N/A</v>
      </c>
    </row>
    <row r="42" spans="2:10" ht="12.75">
      <c r="B42" t="s">
        <v>138</v>
      </c>
      <c r="C42" t="e">
        <f>SUM(C31:C41)</f>
        <v>#N/A</v>
      </c>
      <c r="F42" t="e">
        <f>SUM(F31:F41)</f>
        <v>#N/A</v>
      </c>
      <c r="H42" t="e">
        <f>SUM(H31:H41)</f>
        <v>#N/A</v>
      </c>
      <c r="J42" t="e">
        <f>SUM(C42:H42)</f>
        <v>#N/A</v>
      </c>
    </row>
    <row r="43" spans="2:6" ht="39">
      <c r="B43" s="46" t="s">
        <v>139</v>
      </c>
      <c r="C43" t="e">
        <f>MAX($F$5-J42,0)</f>
        <v>#N/A</v>
      </c>
      <c r="E43">
        <v>100000</v>
      </c>
      <c r="F43" t="s">
        <v>84</v>
      </c>
    </row>
    <row r="47" ht="12.75">
      <c r="A47" t="s">
        <v>140</v>
      </c>
    </row>
    <row r="49" spans="2:3" ht="12.75">
      <c r="B49" s="83" t="e">
        <f>'加入者(4)'!F19+'加入者(4)'!F20-100000</f>
        <v>#N/A</v>
      </c>
      <c r="C49" t="s">
        <v>0</v>
      </c>
    </row>
    <row r="51" spans="2:8" ht="12.75">
      <c r="B51" t="s">
        <v>148</v>
      </c>
      <c r="C51" t="s">
        <v>149</v>
      </c>
      <c r="E51" t="s">
        <v>141</v>
      </c>
      <c r="F51" t="s">
        <v>4</v>
      </c>
      <c r="G51" t="s">
        <v>158</v>
      </c>
      <c r="H51" t="s">
        <v>159</v>
      </c>
    </row>
    <row r="52" spans="2:9" ht="12.75">
      <c r="B52" t="s">
        <v>26</v>
      </c>
      <c r="C52" t="s">
        <v>92</v>
      </c>
      <c r="E52" s="85">
        <f>'計算シート14'!J10</f>
        <v>0</v>
      </c>
      <c r="F52" s="86">
        <f>'HP用'!G21</f>
        <v>0</v>
      </c>
      <c r="G52" s="35">
        <f>E52+F52</f>
        <v>0</v>
      </c>
      <c r="H52">
        <v>10000000</v>
      </c>
      <c r="I52" t="s">
        <v>40</v>
      </c>
    </row>
    <row r="53" spans="2:9" ht="12.75">
      <c r="B53" t="s">
        <v>146</v>
      </c>
      <c r="C53" t="s">
        <v>92</v>
      </c>
      <c r="H53">
        <v>10000001</v>
      </c>
      <c r="I53" t="s">
        <v>93</v>
      </c>
    </row>
    <row r="54" spans="2:9" ht="12.75">
      <c r="B54" t="s">
        <v>25</v>
      </c>
      <c r="C54" t="s">
        <v>38</v>
      </c>
      <c r="H54">
        <v>20000001</v>
      </c>
      <c r="I54" t="s">
        <v>94</v>
      </c>
    </row>
  </sheetData>
  <sheetProtection/>
  <mergeCells count="9">
    <mergeCell ref="O12:Q12"/>
    <mergeCell ref="B13:B17"/>
    <mergeCell ref="H13:H17"/>
    <mergeCell ref="N13:N17"/>
    <mergeCell ref="B18:B22"/>
    <mergeCell ref="H18:H22"/>
    <mergeCell ref="N18:N22"/>
    <mergeCell ref="C12:E12"/>
    <mergeCell ref="I12:K12"/>
  </mergeCells>
  <printOptions/>
  <pageMargins left="0.7" right="0.7" top="0.75" bottom="0.75" header="0.3" footer="0.3"/>
  <pageSetup horizontalDpi="600" verticalDpi="600" orientation="portrait" paperSize="9" scale="39" r:id="rId1"/>
</worksheet>
</file>

<file path=xl/worksheets/sheet15.xml><?xml version="1.0" encoding="utf-8"?>
<worksheet xmlns="http://schemas.openxmlformats.org/spreadsheetml/2006/main" xmlns:r="http://schemas.openxmlformats.org/officeDocument/2006/relationships">
  <sheetPr codeName="Sheet14">
    <tabColor rgb="FFFFFF00"/>
  </sheetPr>
  <dimension ref="A1:G26"/>
  <sheetViews>
    <sheetView view="pageBreakPreview" zoomScaleSheetLayoutView="100" zoomScalePageLayoutView="0" workbookViewId="0" topLeftCell="A16">
      <selection activeCell="F14" sqref="F14:G14"/>
    </sheetView>
  </sheetViews>
  <sheetFormatPr defaultColWidth="9.140625" defaultRowHeight="15"/>
  <cols>
    <col min="1" max="1" width="3.7109375" style="0" customWidth="1"/>
    <col min="3" max="3" width="11.8515625" style="0" customWidth="1"/>
    <col min="4" max="4" width="11.28125" style="0" customWidth="1"/>
    <col min="5" max="5" width="14.8515625" style="0" customWidth="1"/>
    <col min="6" max="6" width="31.140625" style="0" customWidth="1"/>
    <col min="7" max="7" width="7.140625" style="0" customWidth="1"/>
  </cols>
  <sheetData>
    <row r="1" spans="1:7" ht="29.25" customHeight="1">
      <c r="A1" s="47" t="s">
        <v>34</v>
      </c>
      <c r="B1" s="48"/>
      <c r="C1" s="48"/>
      <c r="D1" s="48"/>
      <c r="E1" s="48"/>
      <c r="F1" s="48"/>
      <c r="G1" s="48"/>
    </row>
    <row r="2" spans="1:7" ht="4.5" customHeight="1">
      <c r="A2" s="47"/>
      <c r="B2" s="48"/>
      <c r="C2" s="48"/>
      <c r="D2" s="48"/>
      <c r="E2" s="48"/>
      <c r="F2" s="48"/>
      <c r="G2" s="48"/>
    </row>
    <row r="3" spans="1:7" ht="21" customHeight="1">
      <c r="A3" s="48"/>
      <c r="B3" s="48" t="s">
        <v>154</v>
      </c>
      <c r="C3" s="48"/>
      <c r="D3" s="48"/>
      <c r="E3" s="240" t="s">
        <v>155</v>
      </c>
      <c r="F3" s="240"/>
      <c r="G3" s="48"/>
    </row>
    <row r="4" spans="1:7" ht="21" customHeight="1">
      <c r="A4" s="48"/>
      <c r="B4" s="48" t="s">
        <v>153</v>
      </c>
      <c r="C4" s="48"/>
      <c r="D4" s="48"/>
      <c r="E4" s="49"/>
      <c r="F4" s="48"/>
      <c r="G4" s="48"/>
    </row>
    <row r="5" spans="1:7" ht="19.5" customHeight="1">
      <c r="A5" s="50" t="s">
        <v>157</v>
      </c>
      <c r="B5" s="48"/>
      <c r="C5" s="48"/>
      <c r="D5" s="48"/>
      <c r="E5" s="48"/>
      <c r="F5" s="48"/>
      <c r="G5" s="48"/>
    </row>
    <row r="6" spans="1:7" ht="28.5" customHeight="1">
      <c r="A6" s="48"/>
      <c r="B6" s="51" t="s">
        <v>35</v>
      </c>
      <c r="C6" s="52"/>
      <c r="D6" s="52"/>
      <c r="E6" s="52"/>
      <c r="F6" s="53">
        <f>'HP用'!E22</f>
        <v>0</v>
      </c>
      <c r="G6" s="54" t="s">
        <v>0</v>
      </c>
    </row>
    <row r="7" spans="1:7" ht="28.5" customHeight="1">
      <c r="A7" s="48"/>
      <c r="B7" s="51" t="s">
        <v>36</v>
      </c>
      <c r="C7" s="52"/>
      <c r="D7" s="52"/>
      <c r="E7" s="52"/>
      <c r="F7" s="53">
        <f>'HP用'!F22</f>
        <v>0</v>
      </c>
      <c r="G7" s="54" t="s">
        <v>0</v>
      </c>
    </row>
    <row r="8" spans="1:7" ht="28.5" customHeight="1">
      <c r="A8" s="48"/>
      <c r="B8" s="55" t="s">
        <v>37</v>
      </c>
      <c r="C8" s="56"/>
      <c r="D8" s="56"/>
      <c r="E8" s="56"/>
      <c r="F8" s="241" t="e">
        <f>VLOOKUP('HP用'!D22,'計算シート25'!$B$52:$C$54,2,1)</f>
        <v>#N/A</v>
      </c>
      <c r="G8" s="242"/>
    </row>
    <row r="9" spans="1:7" ht="28.5" customHeight="1">
      <c r="A9" s="48"/>
      <c r="B9" s="243" t="s">
        <v>39</v>
      </c>
      <c r="C9" s="243"/>
      <c r="D9" s="243"/>
      <c r="E9" s="243"/>
      <c r="F9" s="244" t="str">
        <f>_xlfn.IFERROR(VLOOKUP('計算シート25'!G52,'計算シート25'!$H$52:$I$54,2,1),"1,000万円以下")</f>
        <v>1,000万円以下</v>
      </c>
      <c r="G9" s="244"/>
    </row>
    <row r="10" spans="1:7" ht="4.5" customHeight="1">
      <c r="A10" s="48"/>
      <c r="B10" s="48"/>
      <c r="C10" s="48"/>
      <c r="D10" s="48"/>
      <c r="E10" s="48"/>
      <c r="F10" s="48"/>
      <c r="G10" s="48"/>
    </row>
    <row r="11" spans="1:7" ht="19.5" customHeight="1">
      <c r="A11" s="50"/>
      <c r="B11" s="57" t="s">
        <v>41</v>
      </c>
      <c r="C11" s="48"/>
      <c r="D11" s="48"/>
      <c r="E11" s="48"/>
      <c r="F11" s="48"/>
      <c r="G11" s="48"/>
    </row>
    <row r="12" spans="1:7" ht="19.5" customHeight="1">
      <c r="A12" s="50"/>
      <c r="B12" s="57"/>
      <c r="C12" s="48"/>
      <c r="D12" s="48"/>
      <c r="E12" s="48"/>
      <c r="F12" s="48"/>
      <c r="G12" s="48"/>
    </row>
    <row r="13" spans="1:7" ht="19.5" customHeight="1">
      <c r="A13" s="50" t="s">
        <v>156</v>
      </c>
      <c r="B13" s="57"/>
      <c r="C13" s="48"/>
      <c r="D13" s="48"/>
      <c r="E13" s="48"/>
      <c r="F13" s="48"/>
      <c r="G13" s="48"/>
    </row>
    <row r="14" spans="1:7" ht="90" customHeight="1">
      <c r="A14" s="50"/>
      <c r="B14" s="235" t="s">
        <v>142</v>
      </c>
      <c r="C14" s="236"/>
      <c r="D14" s="236"/>
      <c r="E14" s="237"/>
      <c r="F14" s="238">
        <f>_xlfn.IFERROR('HP用'!C22,"非該当")</f>
        <v>0</v>
      </c>
      <c r="G14" s="239"/>
    </row>
    <row r="15" spans="1:7" ht="28.5" customHeight="1">
      <c r="A15" s="50"/>
      <c r="B15" s="232" t="s">
        <v>42</v>
      </c>
      <c r="C15" s="233"/>
      <c r="D15" s="233"/>
      <c r="E15" s="234"/>
      <c r="F15" s="58" t="str">
        <f>'計算シート15'!I12</f>
        <v>0</v>
      </c>
      <c r="G15" s="59" t="s">
        <v>0</v>
      </c>
    </row>
    <row r="16" spans="1:7" ht="19.5" customHeight="1">
      <c r="A16" s="48"/>
      <c r="B16" s="48"/>
      <c r="C16" s="48"/>
      <c r="D16" s="48"/>
      <c r="E16" s="48"/>
      <c r="F16" s="48"/>
      <c r="G16" s="48"/>
    </row>
    <row r="17" spans="1:7" ht="19.5" customHeight="1">
      <c r="A17" s="50" t="s">
        <v>43</v>
      </c>
      <c r="B17" s="48"/>
      <c r="C17" s="48"/>
      <c r="D17" s="48"/>
      <c r="E17" s="48"/>
      <c r="F17" s="48"/>
      <c r="G17" s="48"/>
    </row>
    <row r="18" spans="1:7" ht="10.5" customHeight="1">
      <c r="A18" s="48"/>
      <c r="B18" s="48"/>
      <c r="C18" s="48"/>
      <c r="D18" s="48"/>
      <c r="E18" s="48"/>
      <c r="F18" s="48"/>
      <c r="G18" s="48"/>
    </row>
    <row r="19" spans="1:7" ht="28.5" customHeight="1">
      <c r="A19" s="48"/>
      <c r="B19" s="51" t="s">
        <v>44</v>
      </c>
      <c r="C19" s="52"/>
      <c r="D19" s="52"/>
      <c r="E19" s="52"/>
      <c r="F19" s="60">
        <f>IF('計算シート15'!C34&lt;=100000,'計算シート15'!C34,'計算シート15'!E34)</f>
        <v>0</v>
      </c>
      <c r="G19" s="54" t="s">
        <v>0</v>
      </c>
    </row>
    <row r="20" spans="1:7" ht="28.5" customHeight="1" thickBot="1">
      <c r="A20" s="48"/>
      <c r="B20" s="51" t="s">
        <v>45</v>
      </c>
      <c r="C20" s="52"/>
      <c r="D20" s="52"/>
      <c r="E20" s="52"/>
      <c r="F20" s="60" t="e">
        <f>IF('計算シート25'!C43&lt;=100000,'計算シート25'!C43,'計算シート25'!E43)</f>
        <v>#N/A</v>
      </c>
      <c r="G20" s="54" t="s">
        <v>0</v>
      </c>
    </row>
    <row r="21" spans="1:7" ht="28.5" customHeight="1" thickTop="1">
      <c r="A21" s="48"/>
      <c r="B21" s="61" t="s">
        <v>46</v>
      </c>
      <c r="C21" s="62"/>
      <c r="D21" s="62"/>
      <c r="E21" s="62"/>
      <c r="F21" s="63" t="e">
        <f>IF('計算シート25'!B49&gt;=0,'計算シート25'!B49,0)</f>
        <v>#N/A</v>
      </c>
      <c r="G21" s="64" t="s">
        <v>0</v>
      </c>
    </row>
    <row r="22" spans="1:7" ht="12.75">
      <c r="A22" s="48"/>
      <c r="B22" s="48"/>
      <c r="C22" s="48"/>
      <c r="D22" s="48"/>
      <c r="E22" s="48"/>
      <c r="F22" s="48"/>
      <c r="G22" s="48"/>
    </row>
    <row r="23" spans="1:7" ht="19.5" customHeight="1">
      <c r="A23" s="50" t="s">
        <v>47</v>
      </c>
      <c r="B23" s="48"/>
      <c r="C23" s="48"/>
      <c r="D23" s="48"/>
      <c r="E23" s="48"/>
      <c r="F23" s="48"/>
      <c r="G23" s="48"/>
    </row>
    <row r="24" spans="1:7" ht="28.5" customHeight="1">
      <c r="A24" s="48"/>
      <c r="B24" s="55" t="s">
        <v>48</v>
      </c>
      <c r="C24" s="56"/>
      <c r="D24" s="56"/>
      <c r="E24" s="65"/>
      <c r="F24" s="80" t="str">
        <f>_xlfn.IFERROR('計算シート15'!C34-('加入者(5)'!F15+'加入者(5)'!F21),"0")</f>
        <v>0</v>
      </c>
      <c r="G24" s="65" t="s">
        <v>0</v>
      </c>
    </row>
    <row r="25" spans="1:7" ht="28.5" customHeight="1" thickBot="1">
      <c r="A25" s="48"/>
      <c r="B25" s="66" t="s">
        <v>49</v>
      </c>
      <c r="C25" s="67"/>
      <c r="D25" s="67"/>
      <c r="E25" s="68"/>
      <c r="F25" s="79" t="str">
        <f>_xlfn.IFERROR('計算シート25'!C43,"0")</f>
        <v>0</v>
      </c>
      <c r="G25" s="68" t="s">
        <v>0</v>
      </c>
    </row>
    <row r="26" spans="1:7" ht="28.5" customHeight="1" thickTop="1">
      <c r="A26" s="48"/>
      <c r="B26" s="69" t="s">
        <v>50</v>
      </c>
      <c r="C26" s="70"/>
      <c r="D26" s="70"/>
      <c r="E26" s="71"/>
      <c r="F26" s="72">
        <f>F24+F25</f>
        <v>0</v>
      </c>
      <c r="G26" s="71" t="s">
        <v>0</v>
      </c>
    </row>
  </sheetData>
  <sheetProtection/>
  <mergeCells count="7">
    <mergeCell ref="B15:E15"/>
    <mergeCell ref="E3:F3"/>
    <mergeCell ref="F8:G8"/>
    <mergeCell ref="B9:E9"/>
    <mergeCell ref="F9:G9"/>
    <mergeCell ref="B14:E14"/>
    <mergeCell ref="F14:G14"/>
  </mergeCells>
  <printOptions/>
  <pageMargins left="0.7" right="0.48" top="0.73" bottom="0.47" header="0.3" footer="0.3"/>
  <pageSetup horizontalDpi="600" verticalDpi="600" orientation="portrait" paperSize="9" scale="97" r:id="rId2"/>
  <drawing r:id="rId1"/>
</worksheet>
</file>

<file path=xl/worksheets/sheet16.xml><?xml version="1.0" encoding="utf-8"?>
<worksheet xmlns="http://schemas.openxmlformats.org/spreadsheetml/2006/main" xmlns:r="http://schemas.openxmlformats.org/officeDocument/2006/relationships">
  <sheetPr codeName="Sheet15"/>
  <dimension ref="A1:L41"/>
  <sheetViews>
    <sheetView zoomScalePageLayoutView="0" workbookViewId="0" topLeftCell="A25">
      <selection activeCell="I10" sqref="I10"/>
    </sheetView>
  </sheetViews>
  <sheetFormatPr defaultColWidth="9.140625" defaultRowHeight="15"/>
  <cols>
    <col min="1" max="1" width="12.140625" style="0" customWidth="1"/>
    <col min="2" max="2" width="4.8515625" style="0" customWidth="1"/>
    <col min="3" max="3" width="14.7109375" style="0" customWidth="1"/>
    <col min="4" max="4" width="12.8515625" style="0" customWidth="1"/>
    <col min="5" max="5" width="16.28125" style="0" customWidth="1"/>
    <col min="6" max="7" width="14.7109375" style="0" customWidth="1"/>
    <col min="8" max="8" width="4.421875" style="0" customWidth="1"/>
    <col min="9" max="9" width="25.00390625" style="34" customWidth="1"/>
    <col min="10" max="10" width="25.00390625" style="0" customWidth="1"/>
    <col min="11" max="13" width="14.7109375" style="0" customWidth="1"/>
    <col min="14" max="18" width="9.00390625" style="0" customWidth="1"/>
  </cols>
  <sheetData>
    <row r="1" ht="12.75">
      <c r="A1" t="s">
        <v>51</v>
      </c>
    </row>
    <row r="3" spans="1:12" ht="12.75">
      <c r="A3" t="s">
        <v>52</v>
      </c>
      <c r="I3" s="245" t="s">
        <v>53</v>
      </c>
      <c r="J3" s="245"/>
      <c r="K3" s="245"/>
      <c r="L3" s="245"/>
    </row>
    <row r="4" spans="9:12" ht="12.75">
      <c r="I4" s="245" t="s">
        <v>54</v>
      </c>
      <c r="J4" s="245"/>
      <c r="K4" s="245"/>
      <c r="L4" s="245"/>
    </row>
    <row r="5" spans="1:12" ht="12.75">
      <c r="A5" t="s">
        <v>35</v>
      </c>
      <c r="E5" s="83">
        <f>IF('加入者(5)'!F6="","",'加入者(5)'!F6)</f>
        <v>0</v>
      </c>
      <c r="F5" t="s">
        <v>0</v>
      </c>
      <c r="I5" s="245" t="s">
        <v>55</v>
      </c>
      <c r="J5" s="245"/>
      <c r="K5" s="245"/>
      <c r="L5" s="245"/>
    </row>
    <row r="6" spans="9:12" ht="12.75">
      <c r="I6" s="245" t="s">
        <v>56</v>
      </c>
      <c r="J6" s="245"/>
      <c r="K6" s="245"/>
      <c r="L6" s="245"/>
    </row>
    <row r="7" spans="1:12" ht="12.75">
      <c r="A7" t="s">
        <v>57</v>
      </c>
      <c r="D7" t="s">
        <v>58</v>
      </c>
      <c r="I7" s="245" t="s">
        <v>59</v>
      </c>
      <c r="J7" s="245"/>
      <c r="K7" s="245"/>
      <c r="L7" s="245"/>
    </row>
    <row r="8" spans="9:10" ht="12.75">
      <c r="I8" s="34" t="s">
        <v>143</v>
      </c>
      <c r="J8" t="s">
        <v>144</v>
      </c>
    </row>
    <row r="9" spans="1:12" ht="13.5" customHeight="1">
      <c r="A9">
        <v>1</v>
      </c>
      <c r="B9" t="s">
        <v>60</v>
      </c>
      <c r="C9" s="35">
        <v>550999</v>
      </c>
      <c r="D9" t="s">
        <v>61</v>
      </c>
      <c r="I9" s="34" t="s">
        <v>62</v>
      </c>
      <c r="J9" s="246" t="s">
        <v>63</v>
      </c>
      <c r="K9" s="246"/>
      <c r="L9" s="36"/>
    </row>
    <row r="10" spans="1:12" ht="12.75">
      <c r="A10" s="35">
        <v>551000</v>
      </c>
      <c r="B10" t="s">
        <v>60</v>
      </c>
      <c r="C10" s="35">
        <v>1618999</v>
      </c>
      <c r="D10" t="s">
        <v>64</v>
      </c>
      <c r="I10" s="84" t="b">
        <f>IF('加入者(5)'!F14="該当",E5)</f>
        <v>0</v>
      </c>
      <c r="J10" s="37">
        <f>C34</f>
        <v>0</v>
      </c>
      <c r="K10" s="38"/>
      <c r="L10" s="36"/>
    </row>
    <row r="11" spans="1:12" ht="12.75">
      <c r="A11" s="35">
        <v>1619000</v>
      </c>
      <c r="B11" t="s">
        <v>60</v>
      </c>
      <c r="C11" s="35">
        <v>1619999</v>
      </c>
      <c r="D11" t="s">
        <v>65</v>
      </c>
      <c r="I11" s="34" t="s">
        <v>66</v>
      </c>
      <c r="J11" s="36"/>
      <c r="K11" s="36"/>
      <c r="L11" s="36"/>
    </row>
    <row r="12" spans="1:12" ht="12.75">
      <c r="A12" s="35">
        <v>1620000</v>
      </c>
      <c r="B12" t="s">
        <v>60</v>
      </c>
      <c r="C12" s="35">
        <v>1621999</v>
      </c>
      <c r="D12" t="s">
        <v>67</v>
      </c>
      <c r="I12" s="39" t="str">
        <f>_xlfn.IFERROR(VLOOKUP(I10,$J$20:$L$21,3,1),"0")</f>
        <v>0</v>
      </c>
      <c r="J12" s="36"/>
      <c r="K12" s="38"/>
      <c r="L12" s="36"/>
    </row>
    <row r="13" spans="1:10" ht="12.75">
      <c r="A13" s="35">
        <v>1622000</v>
      </c>
      <c r="B13" t="s">
        <v>60</v>
      </c>
      <c r="C13" s="35">
        <v>1623999</v>
      </c>
      <c r="D13" t="s">
        <v>68</v>
      </c>
      <c r="I13" s="245" t="s">
        <v>69</v>
      </c>
      <c r="J13" s="245"/>
    </row>
    <row r="14" spans="1:12" ht="12.75">
      <c r="A14" s="35">
        <v>1624000</v>
      </c>
      <c r="B14" t="s">
        <v>60</v>
      </c>
      <c r="C14" s="35">
        <v>1627999</v>
      </c>
      <c r="D14" t="s">
        <v>70</v>
      </c>
      <c r="I14" s="34">
        <f>_xlfn.IFERROR(J10-I12,"0")</f>
        <v>0</v>
      </c>
      <c r="J14" s="36"/>
      <c r="K14" s="36"/>
      <c r="L14" s="36"/>
    </row>
    <row r="15" spans="1:12" ht="12.75">
      <c r="A15" s="35">
        <v>1628000</v>
      </c>
      <c r="B15" t="s">
        <v>60</v>
      </c>
      <c r="C15" s="35">
        <v>1799999</v>
      </c>
      <c r="D15" t="s">
        <v>71</v>
      </c>
      <c r="I15" s="40"/>
      <c r="J15" s="36"/>
      <c r="K15" s="38"/>
      <c r="L15" s="38"/>
    </row>
    <row r="16" spans="1:12" ht="12.75">
      <c r="A16" s="35">
        <v>1800000</v>
      </c>
      <c r="B16" t="s">
        <v>60</v>
      </c>
      <c r="C16" s="35">
        <v>3599999</v>
      </c>
      <c r="D16" t="s">
        <v>72</v>
      </c>
      <c r="J16" s="36"/>
      <c r="K16" s="38"/>
      <c r="L16" s="38"/>
    </row>
    <row r="17" spans="1:4" ht="12.75">
      <c r="A17" s="35">
        <v>3600000</v>
      </c>
      <c r="B17" t="s">
        <v>60</v>
      </c>
      <c r="C17" s="35">
        <v>6599999</v>
      </c>
      <c r="D17" t="s">
        <v>73</v>
      </c>
    </row>
    <row r="18" spans="1:4" ht="12.75">
      <c r="A18" s="35">
        <v>6600000</v>
      </c>
      <c r="B18" t="s">
        <v>60</v>
      </c>
      <c r="C18" s="35">
        <v>8499999</v>
      </c>
      <c r="D18" t="s">
        <v>74</v>
      </c>
    </row>
    <row r="19" spans="1:12" ht="12.75">
      <c r="A19" s="35">
        <v>8500000</v>
      </c>
      <c r="B19" t="s">
        <v>75</v>
      </c>
      <c r="D19" t="s">
        <v>76</v>
      </c>
      <c r="I19" s="34" t="s">
        <v>77</v>
      </c>
      <c r="J19" s="36" t="s">
        <v>78</v>
      </c>
      <c r="K19" s="36" t="s">
        <v>79</v>
      </c>
      <c r="L19" s="36" t="s">
        <v>80</v>
      </c>
    </row>
    <row r="20" spans="9:12" ht="12.75">
      <c r="I20" s="34" t="s">
        <v>81</v>
      </c>
      <c r="J20" s="36">
        <v>8500000</v>
      </c>
      <c r="K20" s="38" t="b">
        <f>I10</f>
        <v>0</v>
      </c>
      <c r="L20" s="38">
        <f>(K20-8500000)*0.1</f>
        <v>-850000</v>
      </c>
    </row>
    <row r="21" spans="9:12" ht="12.75">
      <c r="I21" s="34" t="s">
        <v>82</v>
      </c>
      <c r="J21" s="36">
        <v>10000001</v>
      </c>
      <c r="K21" s="38" t="b">
        <f>I10</f>
        <v>0</v>
      </c>
      <c r="L21" s="38">
        <f>(10000000-8500000)*0.1</f>
        <v>150000</v>
      </c>
    </row>
    <row r="22" ht="12.75">
      <c r="C22" t="s">
        <v>83</v>
      </c>
    </row>
    <row r="23" ht="12.75">
      <c r="C23">
        <f>IF(E5&lt;=C9,0,0)</f>
        <v>0</v>
      </c>
    </row>
    <row r="24" ht="12.75">
      <c r="C24">
        <f>IF(AND($E$5&gt;=A10,$E$5&lt;=C10),$E$5-550000,0)</f>
        <v>0</v>
      </c>
    </row>
    <row r="25" ht="12.75">
      <c r="C25">
        <f>IF(AND($E$5&gt;=A11,$E$5&lt;=C11),1069000,0)</f>
        <v>0</v>
      </c>
    </row>
    <row r="26" ht="12.75">
      <c r="C26">
        <f>IF(AND($E$5&gt;=A12,$E$5&lt;=C12),1070000,0)</f>
        <v>0</v>
      </c>
    </row>
    <row r="27" ht="12.75">
      <c r="C27">
        <f>IF(AND($E$5&gt;=A13,$E$5&lt;=C13),1072000,0)</f>
        <v>0</v>
      </c>
    </row>
    <row r="28" ht="12.75">
      <c r="C28">
        <f>IF(AND($E$5&gt;=A14,$E$5&lt;=C14),1074000,0)</f>
        <v>0</v>
      </c>
    </row>
    <row r="29" ht="12.75">
      <c r="C29">
        <f>IF(AND($E$5&gt;=A15,$E$5&lt;=C15),ROUNDDOWN($E$5/4,-3)*2.4+100000,0)</f>
        <v>0</v>
      </c>
    </row>
    <row r="30" ht="12.75">
      <c r="C30">
        <f>IF(AND($E$5&gt;=A16,$E$5&lt;=C16),ROUNDDOWN($E$5/4,-3)*2.8-80000,0)</f>
        <v>0</v>
      </c>
    </row>
    <row r="31" ht="12.75">
      <c r="C31">
        <f>IF(AND($E$5&gt;=A17,$E$5&lt;=C17),ROUNDDOWN($E$5/4,-3)*3.2-440000,0)</f>
        <v>0</v>
      </c>
    </row>
    <row r="32" ht="12.75">
      <c r="C32">
        <f>IF(AND($E$5&gt;=A18,$E$5&lt;=C18),ROUNDDOWN($E$5*0.9,0)-1100000,0)</f>
        <v>0</v>
      </c>
    </row>
    <row r="33" ht="12.75">
      <c r="C33">
        <f>IF($E$5&gt;=A19,$E$5-1950000,0)</f>
        <v>0</v>
      </c>
    </row>
    <row r="34" spans="1:6" ht="12.75">
      <c r="A34" t="s">
        <v>33</v>
      </c>
      <c r="C34">
        <f>SUM(C23:C33)</f>
        <v>0</v>
      </c>
      <c r="E34">
        <v>100000</v>
      </c>
      <c r="F34" t="s">
        <v>84</v>
      </c>
    </row>
    <row r="37" ht="12.75">
      <c r="A37" t="s">
        <v>85</v>
      </c>
    </row>
    <row r="38" ht="12.75">
      <c r="A38" t="s">
        <v>86</v>
      </c>
    </row>
    <row r="39" ht="12.75">
      <c r="A39" t="s">
        <v>55</v>
      </c>
    </row>
    <row r="40" ht="12.75">
      <c r="A40" t="s">
        <v>56</v>
      </c>
    </row>
    <row r="41" ht="12.75">
      <c r="A41" t="s">
        <v>59</v>
      </c>
    </row>
  </sheetData>
  <sheetProtection/>
  <mergeCells count="7">
    <mergeCell ref="I13:J13"/>
    <mergeCell ref="I3:L3"/>
    <mergeCell ref="I4:L4"/>
    <mergeCell ref="I5:L5"/>
    <mergeCell ref="I6:L6"/>
    <mergeCell ref="I7:L7"/>
    <mergeCell ref="J9:K9"/>
  </mergeCells>
  <printOptions/>
  <pageMargins left="0.7" right="0.7" top="0.75" bottom="0.75" header="0.3" footer="0.3"/>
  <pageSetup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sheetPr codeName="Sheet16"/>
  <dimension ref="A1:R54"/>
  <sheetViews>
    <sheetView zoomScalePageLayoutView="0" workbookViewId="0" topLeftCell="A37">
      <selection activeCell="B49" sqref="B49"/>
    </sheetView>
  </sheetViews>
  <sheetFormatPr defaultColWidth="9.140625" defaultRowHeight="15"/>
  <cols>
    <col min="1" max="1" width="4.00390625" style="0" customWidth="1"/>
    <col min="2" max="2" width="13.28125" style="0" customWidth="1"/>
    <col min="3" max="3" width="13.00390625" style="0" customWidth="1"/>
    <col min="4" max="4" width="3.8515625" style="0" customWidth="1"/>
    <col min="5" max="5" width="12.140625" style="0" customWidth="1"/>
    <col min="6" max="6" width="25.421875" style="0" customWidth="1"/>
    <col min="7" max="7" width="10.8515625" style="0" customWidth="1"/>
    <col min="8" max="8" width="14.421875" style="0" customWidth="1"/>
    <col min="9" max="9" width="10.8515625" style="0" customWidth="1"/>
    <col min="10" max="10" width="9.00390625" style="0" customWidth="1"/>
    <col min="11" max="11" width="10.7109375" style="0" customWidth="1"/>
    <col min="12" max="12" width="25.140625" style="0" customWidth="1"/>
    <col min="13" max="14" width="9.00390625" style="0" customWidth="1"/>
    <col min="15" max="15" width="11.140625" style="0" customWidth="1"/>
    <col min="16" max="16" width="9.00390625" style="0" customWidth="1"/>
    <col min="17" max="17" width="11.140625" style="0" customWidth="1"/>
    <col min="18" max="18" width="24.7109375" style="0" customWidth="1"/>
  </cols>
  <sheetData>
    <row r="1" ht="12.75">
      <c r="A1" t="s">
        <v>87</v>
      </c>
    </row>
    <row r="3" ht="12.75">
      <c r="A3" t="s">
        <v>88</v>
      </c>
    </row>
    <row r="5" spans="2:7" ht="12.75">
      <c r="B5" t="s">
        <v>89</v>
      </c>
      <c r="F5" s="83">
        <f>'加入者(5)'!F7</f>
        <v>0</v>
      </c>
      <c r="G5" t="s">
        <v>0</v>
      </c>
    </row>
    <row r="6" spans="2:10" ht="12.75">
      <c r="B6" t="s">
        <v>90</v>
      </c>
      <c r="F6" s="88" t="e">
        <f>'加入者(5)'!F8</f>
        <v>#N/A</v>
      </c>
      <c r="H6" t="s">
        <v>38</v>
      </c>
      <c r="J6" t="s">
        <v>40</v>
      </c>
    </row>
    <row r="7" spans="2:10" ht="12.75">
      <c r="B7" t="s">
        <v>91</v>
      </c>
      <c r="F7" s="88" t="str">
        <f>'加入者(5)'!F9</f>
        <v>1,000万円以下</v>
      </c>
      <c r="H7" t="s">
        <v>92</v>
      </c>
      <c r="J7" t="s">
        <v>93</v>
      </c>
    </row>
    <row r="8" ht="12.75">
      <c r="J8" t="s">
        <v>94</v>
      </c>
    </row>
    <row r="10" ht="12.75">
      <c r="B10" t="s">
        <v>95</v>
      </c>
    </row>
    <row r="11" spans="2:14" ht="12.75">
      <c r="B11" t="str">
        <f>J6</f>
        <v>1,000万円以下</v>
      </c>
      <c r="H11" t="str">
        <f>J7</f>
        <v>1,000万円超2,000万円以下</v>
      </c>
      <c r="N11" t="str">
        <f>J8</f>
        <v>2,000万円超</v>
      </c>
    </row>
    <row r="12" spans="2:18" ht="29.25" customHeight="1">
      <c r="B12" s="42" t="s">
        <v>96</v>
      </c>
      <c r="C12" s="247" t="s">
        <v>97</v>
      </c>
      <c r="D12" s="248"/>
      <c r="E12" s="249"/>
      <c r="F12" s="42" t="s">
        <v>98</v>
      </c>
      <c r="H12" s="42" t="s">
        <v>96</v>
      </c>
      <c r="I12" s="247" t="s">
        <v>97</v>
      </c>
      <c r="J12" s="248"/>
      <c r="K12" s="249"/>
      <c r="L12" s="42" t="s">
        <v>98</v>
      </c>
      <c r="N12" s="42" t="s">
        <v>96</v>
      </c>
      <c r="O12" s="247" t="s">
        <v>97</v>
      </c>
      <c r="P12" s="248"/>
      <c r="Q12" s="249"/>
      <c r="R12" s="42" t="s">
        <v>98</v>
      </c>
    </row>
    <row r="13" spans="2:18" ht="12.75">
      <c r="B13" s="250" t="s">
        <v>38</v>
      </c>
      <c r="C13" s="43">
        <v>1</v>
      </c>
      <c r="D13" s="44" t="s">
        <v>75</v>
      </c>
      <c r="E13" s="45">
        <v>3300000</v>
      </c>
      <c r="F13" s="42" t="s">
        <v>99</v>
      </c>
      <c r="H13" s="250" t="s">
        <v>38</v>
      </c>
      <c r="I13" s="43">
        <v>1</v>
      </c>
      <c r="J13" s="44" t="s">
        <v>75</v>
      </c>
      <c r="K13" s="45">
        <v>3300000</v>
      </c>
      <c r="L13" s="42" t="s">
        <v>100</v>
      </c>
      <c r="N13" s="250" t="s">
        <v>38</v>
      </c>
      <c r="O13" s="43">
        <v>1</v>
      </c>
      <c r="P13" s="44" t="s">
        <v>75</v>
      </c>
      <c r="Q13" s="45">
        <v>3300000</v>
      </c>
      <c r="R13" s="42" t="s">
        <v>101</v>
      </c>
    </row>
    <row r="14" spans="2:18" ht="12.75">
      <c r="B14" s="251"/>
      <c r="C14" s="43">
        <v>3300001</v>
      </c>
      <c r="D14" s="44" t="s">
        <v>75</v>
      </c>
      <c r="E14" s="45">
        <v>4100000</v>
      </c>
      <c r="F14" s="42" t="s">
        <v>103</v>
      </c>
      <c r="H14" s="251"/>
      <c r="I14" s="43">
        <v>3300001</v>
      </c>
      <c r="J14" s="44" t="s">
        <v>75</v>
      </c>
      <c r="K14" s="45">
        <v>4100000</v>
      </c>
      <c r="L14" s="42" t="s">
        <v>105</v>
      </c>
      <c r="N14" s="251"/>
      <c r="O14" s="43">
        <v>3300001</v>
      </c>
      <c r="P14" s="44" t="s">
        <v>75</v>
      </c>
      <c r="Q14" s="45">
        <v>4100000</v>
      </c>
      <c r="R14" s="42" t="s">
        <v>107</v>
      </c>
    </row>
    <row r="15" spans="2:18" ht="12.75">
      <c r="B15" s="251"/>
      <c r="C15" s="43">
        <v>4100001</v>
      </c>
      <c r="D15" s="44" t="s">
        <v>75</v>
      </c>
      <c r="E15" s="45">
        <v>7700000</v>
      </c>
      <c r="F15" s="42" t="s">
        <v>108</v>
      </c>
      <c r="H15" s="251"/>
      <c r="I15" s="43">
        <v>4100001</v>
      </c>
      <c r="J15" s="44" t="s">
        <v>75</v>
      </c>
      <c r="K15" s="45">
        <v>7700000</v>
      </c>
      <c r="L15" s="42" t="s">
        <v>110</v>
      </c>
      <c r="N15" s="251"/>
      <c r="O15" s="43">
        <v>4100001</v>
      </c>
      <c r="P15" s="44" t="s">
        <v>75</v>
      </c>
      <c r="Q15" s="45">
        <v>7700000</v>
      </c>
      <c r="R15" s="42" t="s">
        <v>111</v>
      </c>
    </row>
    <row r="16" spans="2:18" ht="12.75">
      <c r="B16" s="251"/>
      <c r="C16" s="43">
        <v>7700001</v>
      </c>
      <c r="D16" s="44" t="s">
        <v>75</v>
      </c>
      <c r="E16" s="45">
        <v>10000000</v>
      </c>
      <c r="F16" s="42" t="s">
        <v>112</v>
      </c>
      <c r="H16" s="251"/>
      <c r="I16" s="43">
        <v>7700001</v>
      </c>
      <c r="J16" s="44" t="s">
        <v>75</v>
      </c>
      <c r="K16" s="45">
        <v>10000000</v>
      </c>
      <c r="L16" s="42" t="s">
        <v>114</v>
      </c>
      <c r="N16" s="251"/>
      <c r="O16" s="43">
        <v>7700001</v>
      </c>
      <c r="P16" s="44" t="s">
        <v>75</v>
      </c>
      <c r="Q16" s="45">
        <v>10000000</v>
      </c>
      <c r="R16" s="42" t="s">
        <v>115</v>
      </c>
    </row>
    <row r="17" spans="2:18" ht="12.75">
      <c r="B17" s="252"/>
      <c r="C17" s="43">
        <v>10000001</v>
      </c>
      <c r="D17" s="44" t="s">
        <v>75</v>
      </c>
      <c r="E17" s="45"/>
      <c r="F17" s="42" t="s">
        <v>116</v>
      </c>
      <c r="H17" s="252"/>
      <c r="I17" s="43">
        <v>10000001</v>
      </c>
      <c r="J17" s="44" t="s">
        <v>75</v>
      </c>
      <c r="K17" s="45"/>
      <c r="L17" s="42" t="s">
        <v>118</v>
      </c>
      <c r="N17" s="252"/>
      <c r="O17" s="43">
        <v>10000001</v>
      </c>
      <c r="P17" s="44" t="s">
        <v>75</v>
      </c>
      <c r="Q17" s="45"/>
      <c r="R17" s="42" t="s">
        <v>120</v>
      </c>
    </row>
    <row r="18" spans="2:18" ht="12.75">
      <c r="B18" s="253" t="s">
        <v>92</v>
      </c>
      <c r="C18" s="43">
        <v>1</v>
      </c>
      <c r="D18" s="44" t="s">
        <v>75</v>
      </c>
      <c r="E18" s="45">
        <v>1300000</v>
      </c>
      <c r="F18" s="42" t="s">
        <v>121</v>
      </c>
      <c r="H18" s="253" t="s">
        <v>92</v>
      </c>
      <c r="I18" s="43">
        <v>1</v>
      </c>
      <c r="J18" s="44" t="s">
        <v>75</v>
      </c>
      <c r="K18" s="45">
        <v>1300000</v>
      </c>
      <c r="L18" s="42" t="s">
        <v>123</v>
      </c>
      <c r="N18" s="253" t="s">
        <v>92</v>
      </c>
      <c r="O18" s="43">
        <v>1</v>
      </c>
      <c r="P18" s="44" t="s">
        <v>75</v>
      </c>
      <c r="Q18" s="45">
        <v>1300000</v>
      </c>
      <c r="R18" s="42" t="s">
        <v>124</v>
      </c>
    </row>
    <row r="19" spans="2:18" ht="12.75">
      <c r="B19" s="254"/>
      <c r="C19" s="43">
        <v>1300001</v>
      </c>
      <c r="D19" s="44" t="s">
        <v>75</v>
      </c>
      <c r="E19" s="45">
        <v>4100000</v>
      </c>
      <c r="F19" s="42" t="s">
        <v>103</v>
      </c>
      <c r="H19" s="254"/>
      <c r="I19" s="43">
        <v>1300001</v>
      </c>
      <c r="J19" s="44" t="s">
        <v>75</v>
      </c>
      <c r="K19" s="45">
        <v>4100000</v>
      </c>
      <c r="L19" s="42" t="s">
        <v>105</v>
      </c>
      <c r="N19" s="254"/>
      <c r="O19" s="43">
        <v>1300001</v>
      </c>
      <c r="P19" s="44" t="s">
        <v>75</v>
      </c>
      <c r="Q19" s="45">
        <v>4100000</v>
      </c>
      <c r="R19" s="42" t="s">
        <v>107</v>
      </c>
    </row>
    <row r="20" spans="2:18" ht="12.75">
      <c r="B20" s="254"/>
      <c r="C20" s="43">
        <v>4100001</v>
      </c>
      <c r="D20" s="44" t="s">
        <v>60</v>
      </c>
      <c r="E20" s="45">
        <v>7700000</v>
      </c>
      <c r="F20" s="42" t="s">
        <v>108</v>
      </c>
      <c r="H20" s="254"/>
      <c r="I20" s="43">
        <v>4100001</v>
      </c>
      <c r="J20" s="44" t="s">
        <v>60</v>
      </c>
      <c r="K20" s="45">
        <v>7700000</v>
      </c>
      <c r="L20" s="42" t="s">
        <v>110</v>
      </c>
      <c r="N20" s="254"/>
      <c r="O20" s="43">
        <v>4100001</v>
      </c>
      <c r="P20" s="44" t="s">
        <v>60</v>
      </c>
      <c r="Q20" s="45">
        <v>7700000</v>
      </c>
      <c r="R20" s="42" t="s">
        <v>111</v>
      </c>
    </row>
    <row r="21" spans="2:18" ht="12.75">
      <c r="B21" s="254"/>
      <c r="C21" s="43">
        <v>7700001</v>
      </c>
      <c r="D21" s="44" t="s">
        <v>60</v>
      </c>
      <c r="E21" s="45">
        <v>10000000</v>
      </c>
      <c r="F21" s="42" t="s">
        <v>112</v>
      </c>
      <c r="H21" s="254"/>
      <c r="I21" s="43">
        <v>7700001</v>
      </c>
      <c r="J21" s="44" t="s">
        <v>60</v>
      </c>
      <c r="K21" s="45">
        <v>10000000</v>
      </c>
      <c r="L21" s="42" t="s">
        <v>114</v>
      </c>
      <c r="N21" s="254"/>
      <c r="O21" s="43">
        <v>7700001</v>
      </c>
      <c r="P21" s="44" t="s">
        <v>60</v>
      </c>
      <c r="Q21" s="45">
        <v>10000000</v>
      </c>
      <c r="R21" s="42" t="s">
        <v>115</v>
      </c>
    </row>
    <row r="22" spans="2:18" ht="12.75">
      <c r="B22" s="255"/>
      <c r="C22" s="43">
        <v>10000001</v>
      </c>
      <c r="D22" s="44" t="s">
        <v>75</v>
      </c>
      <c r="E22" s="45"/>
      <c r="F22" s="42" t="s">
        <v>116</v>
      </c>
      <c r="H22" s="255"/>
      <c r="I22" s="43">
        <v>10000001</v>
      </c>
      <c r="J22" s="44" t="s">
        <v>75</v>
      </c>
      <c r="K22" s="45"/>
      <c r="L22" s="42" t="s">
        <v>118</v>
      </c>
      <c r="N22" s="255"/>
      <c r="O22" s="43">
        <v>10000001</v>
      </c>
      <c r="P22" s="44" t="s">
        <v>75</v>
      </c>
      <c r="Q22" s="45"/>
      <c r="R22" s="42" t="s">
        <v>120</v>
      </c>
    </row>
    <row r="24" ht="12.75">
      <c r="B24" t="s">
        <v>134</v>
      </c>
    </row>
    <row r="25" ht="12.75">
      <c r="B25" t="s">
        <v>135</v>
      </c>
    </row>
    <row r="26" ht="12.75">
      <c r="B26" t="s">
        <v>136</v>
      </c>
    </row>
    <row r="28" ht="12.75">
      <c r="B28" t="s">
        <v>137</v>
      </c>
    </row>
    <row r="30" spans="3:8" ht="12.75">
      <c r="C30" t="str">
        <f>J6</f>
        <v>1,000万円以下</v>
      </c>
      <c r="F30" t="str">
        <f>J7</f>
        <v>1,000万円超2,000万円以下</v>
      </c>
      <c r="H30" t="str">
        <f>J8</f>
        <v>2,000万円超</v>
      </c>
    </row>
    <row r="31" spans="2:8" ht="12.75">
      <c r="B31" t="s">
        <v>38</v>
      </c>
      <c r="C31" t="e">
        <f>IF(AND($F$6=$H$6,$F$7=$J$6,$F$5&gt;=C13,$F$5&lt;=E13),1100000,0)</f>
        <v>#N/A</v>
      </c>
      <c r="F31" t="e">
        <f>IF(AND($F$6=$H$6,$F$7=$J$7,$F$5&gt;=I13,$F$5&lt;=K13),1000000,0)</f>
        <v>#N/A</v>
      </c>
      <c r="H31" t="e">
        <f>IF(AND($F$6=$H$6,$F$7=$J$8,$F$5&gt;=O13,$F$5&lt;=Q13),900000,0)</f>
        <v>#N/A</v>
      </c>
    </row>
    <row r="32" spans="3:8" ht="12.75">
      <c r="C32" t="e">
        <f>IF(AND($F$6=$H$6,$F$7=$J$6,$F$5&gt;=C14,$F$5&lt;=E14),ROUNDUP($F$5*0.25+275000,0),0)</f>
        <v>#N/A</v>
      </c>
      <c r="F32" t="e">
        <f>IF(AND($F$6=$H$6,$F$7=$J$7,$F$5&gt;=I14,$F$5&lt;=K14),ROUNDUP($F$5*0.25+175000,0),0)</f>
        <v>#N/A</v>
      </c>
      <c r="H32" t="e">
        <f>IF(AND($F$6=$H$6,$F$7=$J$8,$F$5&gt;=O14,$F$5&lt;=Q14),ROUNDUP($F$5*0.25+75000,0),0)</f>
        <v>#N/A</v>
      </c>
    </row>
    <row r="33" spans="3:8" ht="12.75">
      <c r="C33" t="e">
        <f>IF(AND($F$6=$H$6,$F$7=$J$6,$F$5&gt;=C15,$F$5&lt;=E15),ROUNDUP($F$5*0.15+685000,0),0)</f>
        <v>#N/A</v>
      </c>
      <c r="F33" t="e">
        <f>IF(AND($F$6=$H$6,$F$7=$J$7,$F$5&gt;=I15,$F$5&lt;=K15),ROUNDUP($F$5*0.15+585000,0),0)</f>
        <v>#N/A</v>
      </c>
      <c r="H33" t="e">
        <f>IF(AND($F$6=$H$6,$F$7=$J$8,$F$5&gt;=O15,$F$5&lt;=Q15),ROUNDUP($F$5*0.15+485000,0),0)</f>
        <v>#N/A</v>
      </c>
    </row>
    <row r="34" spans="3:8" ht="12.75">
      <c r="C34" t="e">
        <f>IF(AND($F$6=$H$6,$F$7=$J$6,$F$5&gt;=C16,$F$5&lt;=E16),ROUNDUP($F$5*0.05+1455000,0),0)</f>
        <v>#N/A</v>
      </c>
      <c r="F34" t="e">
        <f>IF(AND($F$6=$H$6,$F$7=$J$7,$F$5&gt;=I16,$F$5&lt;=K16),ROUNDUP($F$5*0.05+1355000,0),0)</f>
        <v>#N/A</v>
      </c>
      <c r="H34" t="e">
        <f>IF(AND($F$6=$H$6,$F$7=$J$8,$F$5&gt;=O16,$F$5&lt;=Q16),ROUNDUP($F$5*0.05+1255000,0),0)</f>
        <v>#N/A</v>
      </c>
    </row>
    <row r="35" spans="3:8" ht="12.75">
      <c r="C35" t="e">
        <f>IF(AND($F$6=$H$6,$F$7=$J$6,$F$5&gt;=C17),1955000,0)</f>
        <v>#N/A</v>
      </c>
      <c r="F35" t="e">
        <f>IF(AND($F$6=$H$6,$F$7=$J$7,$F$5&gt;=I17),1855000,0)</f>
        <v>#N/A</v>
      </c>
      <c r="H35" t="e">
        <f>IF(AND($F$6=$H$6,$F$7=$J$8,$F$5&gt;=O17),1755000,0)</f>
        <v>#N/A</v>
      </c>
    </row>
    <row r="36" spans="2:8" ht="12.75">
      <c r="B36" t="s">
        <v>92</v>
      </c>
      <c r="C36" t="e">
        <f>IF(AND($F$6=$H$7,$F$7=$J$6,$F$5&gt;=C18,$F$5&lt;=E18),600000,0)</f>
        <v>#N/A</v>
      </c>
      <c r="F36" t="e">
        <f>IF(AND($F$6=$H$7,$F$7=$J$7,$F$5&gt;=I18,$F$5&lt;=K18),500000,0)</f>
        <v>#N/A</v>
      </c>
      <c r="H36" t="e">
        <f>IF(AND($F$6=$H$7,$F$7=$J$8,$F$5&gt;=O18,$F$5&lt;=Q18),400000,0)</f>
        <v>#N/A</v>
      </c>
    </row>
    <row r="37" spans="3:8" ht="12.75">
      <c r="C37" t="e">
        <f>IF(AND($F$6=$H$7,$F$7=$J$6,$F$5&gt;=C19,$F$5&lt;=E19),ROUNDUP($F$5*0.25+275000,0),0)</f>
        <v>#N/A</v>
      </c>
      <c r="F37" t="e">
        <f>IF(AND($F$6=$H$7,$F$7=$J$7,$F$5&gt;=I19,$F$5&lt;=K19),ROUNDUP($F$5*0.25+175000,0),0)</f>
        <v>#N/A</v>
      </c>
      <c r="H37" t="e">
        <f>IF(AND($F$6=$H$7,$F$7=$J$8,$F$5&gt;=O19,$F$5&lt;=Q19),ROUNDUP($F$5*0.25+75000,0),0)</f>
        <v>#N/A</v>
      </c>
    </row>
    <row r="38" spans="3:8" ht="12.75">
      <c r="C38" t="e">
        <f>IF(AND($F$6=$H$7,$F$7=$J$6,$F$5&gt;=C20,$F$5&lt;=E20),ROUNDUP($F$5*0.15+685000,0),0)</f>
        <v>#N/A</v>
      </c>
      <c r="F38" t="e">
        <f>IF(AND($F$6=$H$7,$F$7=$J$7,$F$5&gt;=I20,$F$5&lt;=K20),ROUNDUP($F$5*0.15+585000,0),0)</f>
        <v>#N/A</v>
      </c>
      <c r="H38" t="e">
        <f>IF(AND($F$6=$H$7,$F$7=$J$8,$F$5&gt;=O20,$F$5&lt;=Q20),ROUNDUP($F$5*0.15+485000,0),0)</f>
        <v>#N/A</v>
      </c>
    </row>
    <row r="39" spans="3:8" ht="12.75">
      <c r="C39" t="e">
        <f>IF(AND($F$6=$H$7,$F$7=$J$6,$F$5&gt;=C21,$F$5&lt;=E21),ROUNDUP($F$5*0.05+1455000,0),0)</f>
        <v>#N/A</v>
      </c>
      <c r="F39" t="e">
        <f>IF(AND($F$6=$H$7,$F$7=$J$7,$F$5&gt;=I21,$F$5&lt;=K21),ROUNDUP($F$5*0.05+1355000,0),0)</f>
        <v>#N/A</v>
      </c>
      <c r="H39" t="e">
        <f>IF(AND($F$6=$H$7,$F$7=$J$8,$F$5&gt;=O21,$F$5&lt;=Q21),ROUNDUP($F$5*0.05+1255000,0),0)</f>
        <v>#N/A</v>
      </c>
    </row>
    <row r="40" spans="3:8" ht="12.75">
      <c r="C40" t="e">
        <f>IF(AND($F$6=$H$7,$F$7=$J$6,$F$5&gt;=C22),1955000,0)</f>
        <v>#N/A</v>
      </c>
      <c r="F40" t="e">
        <f>IF(AND($F$6=$H$7,$F$7=$J$7,$F$5&gt;=I22),1855000,0)</f>
        <v>#N/A</v>
      </c>
      <c r="H40" t="e">
        <f>IF(AND($F$6=$H$7,$F$7=$J$8,$F$5&gt;=O22),1755000,0)</f>
        <v>#N/A</v>
      </c>
    </row>
    <row r="42" spans="2:10" ht="12.75">
      <c r="B42" t="s">
        <v>138</v>
      </c>
      <c r="C42" t="e">
        <f>SUM(C31:C41)</f>
        <v>#N/A</v>
      </c>
      <c r="F42" t="e">
        <f>SUM(F31:F41)</f>
        <v>#N/A</v>
      </c>
      <c r="H42" t="e">
        <f>SUM(H31:H41)</f>
        <v>#N/A</v>
      </c>
      <c r="J42" t="e">
        <f>SUM(C42:H42)</f>
        <v>#N/A</v>
      </c>
    </row>
    <row r="43" spans="2:6" ht="39">
      <c r="B43" s="46" t="s">
        <v>139</v>
      </c>
      <c r="C43" t="e">
        <f>MAX($F$5-J42,0)</f>
        <v>#N/A</v>
      </c>
      <c r="E43">
        <v>100000</v>
      </c>
      <c r="F43" t="s">
        <v>84</v>
      </c>
    </row>
    <row r="47" ht="12.75">
      <c r="A47" t="s">
        <v>140</v>
      </c>
    </row>
    <row r="49" spans="2:3" ht="12.75">
      <c r="B49" s="83" t="e">
        <f>'加入者(5)'!F19+'加入者(5)'!F20-100000</f>
        <v>#N/A</v>
      </c>
      <c r="C49" t="s">
        <v>0</v>
      </c>
    </row>
    <row r="51" spans="2:8" ht="12.75">
      <c r="B51" t="s">
        <v>148</v>
      </c>
      <c r="C51" t="s">
        <v>149</v>
      </c>
      <c r="E51" t="s">
        <v>141</v>
      </c>
      <c r="F51" t="s">
        <v>4</v>
      </c>
      <c r="G51" t="s">
        <v>158</v>
      </c>
      <c r="H51" t="s">
        <v>159</v>
      </c>
    </row>
    <row r="52" spans="2:9" ht="12.75">
      <c r="B52" t="s">
        <v>26</v>
      </c>
      <c r="C52" t="s">
        <v>92</v>
      </c>
      <c r="E52" s="85">
        <f>'計算シート15'!J10</f>
        <v>0</v>
      </c>
      <c r="F52" s="86">
        <f>'HP用'!G22</f>
        <v>0</v>
      </c>
      <c r="G52" s="35">
        <f>E52+F52</f>
        <v>0</v>
      </c>
      <c r="H52">
        <v>10000000</v>
      </c>
      <c r="I52" t="s">
        <v>40</v>
      </c>
    </row>
    <row r="53" spans="2:9" ht="12.75">
      <c r="B53" t="s">
        <v>146</v>
      </c>
      <c r="C53" t="s">
        <v>92</v>
      </c>
      <c r="H53">
        <v>10000001</v>
      </c>
      <c r="I53" t="s">
        <v>93</v>
      </c>
    </row>
    <row r="54" spans="2:9" ht="12.75">
      <c r="B54" t="s">
        <v>25</v>
      </c>
      <c r="C54" t="s">
        <v>38</v>
      </c>
      <c r="H54">
        <v>20000001</v>
      </c>
      <c r="I54" t="s">
        <v>94</v>
      </c>
    </row>
  </sheetData>
  <sheetProtection/>
  <mergeCells count="9">
    <mergeCell ref="O12:Q12"/>
    <mergeCell ref="B13:B17"/>
    <mergeCell ref="H13:H17"/>
    <mergeCell ref="N13:N17"/>
    <mergeCell ref="B18:B22"/>
    <mergeCell ref="H18:H22"/>
    <mergeCell ref="N18:N22"/>
    <mergeCell ref="C12:E12"/>
    <mergeCell ref="I12:K12"/>
  </mergeCells>
  <printOptions/>
  <pageMargins left="0.7" right="0.7" top="0.75" bottom="0.75" header="0.3" footer="0.3"/>
  <pageSetup horizontalDpi="600" verticalDpi="600" orientation="portrait" paperSize="9" scale="39" r:id="rId1"/>
</worksheet>
</file>

<file path=xl/worksheets/sheet18.xml><?xml version="1.0" encoding="utf-8"?>
<worksheet xmlns="http://schemas.openxmlformats.org/spreadsheetml/2006/main" xmlns:r="http://schemas.openxmlformats.org/officeDocument/2006/relationships">
  <sheetPr codeName="Sheet19">
    <tabColor rgb="FFFFFF00"/>
  </sheetPr>
  <dimension ref="A1:G26"/>
  <sheetViews>
    <sheetView view="pageBreakPreview" zoomScaleSheetLayoutView="100" zoomScalePageLayoutView="0" workbookViewId="0" topLeftCell="A1">
      <selection activeCell="F20" sqref="F20"/>
    </sheetView>
  </sheetViews>
  <sheetFormatPr defaultColWidth="9.140625" defaultRowHeight="15"/>
  <cols>
    <col min="1" max="1" width="3.7109375" style="0" customWidth="1"/>
    <col min="3" max="3" width="11.8515625" style="0" customWidth="1"/>
    <col min="4" max="4" width="11.28125" style="0" customWidth="1"/>
    <col min="5" max="5" width="14.8515625" style="0" customWidth="1"/>
    <col min="6" max="6" width="31.140625" style="0" customWidth="1"/>
    <col min="7" max="7" width="7.140625" style="0" customWidth="1"/>
  </cols>
  <sheetData>
    <row r="1" spans="1:7" ht="29.25" customHeight="1">
      <c r="A1" s="47" t="s">
        <v>34</v>
      </c>
      <c r="B1" s="48"/>
      <c r="C1" s="48"/>
      <c r="D1" s="48"/>
      <c r="E1" s="48"/>
      <c r="F1" s="48"/>
      <c r="G1" s="48"/>
    </row>
    <row r="2" spans="1:7" ht="4.5" customHeight="1">
      <c r="A2" s="47"/>
      <c r="B2" s="48"/>
      <c r="C2" s="48"/>
      <c r="D2" s="48"/>
      <c r="E2" s="48"/>
      <c r="F2" s="48"/>
      <c r="G2" s="48"/>
    </row>
    <row r="3" spans="1:7" ht="21" customHeight="1">
      <c r="A3" s="48"/>
      <c r="B3" s="48" t="s">
        <v>154</v>
      </c>
      <c r="C3" s="48"/>
      <c r="D3" s="48"/>
      <c r="E3" s="240" t="s">
        <v>155</v>
      </c>
      <c r="F3" s="240"/>
      <c r="G3" s="48"/>
    </row>
    <row r="4" spans="1:7" ht="21" customHeight="1">
      <c r="A4" s="48"/>
      <c r="B4" s="48" t="s">
        <v>153</v>
      </c>
      <c r="C4" s="48"/>
      <c r="D4" s="48"/>
      <c r="E4" s="49"/>
      <c r="F4" s="48"/>
      <c r="G4" s="48"/>
    </row>
    <row r="5" spans="1:7" ht="19.5" customHeight="1">
      <c r="A5" s="50" t="s">
        <v>157</v>
      </c>
      <c r="B5" s="48"/>
      <c r="C5" s="48"/>
      <c r="D5" s="48"/>
      <c r="E5" s="48"/>
      <c r="F5" s="48"/>
      <c r="G5" s="48"/>
    </row>
    <row r="6" spans="1:7" ht="28.5" customHeight="1">
      <c r="A6" s="48"/>
      <c r="B6" s="51" t="s">
        <v>35</v>
      </c>
      <c r="C6" s="52"/>
      <c r="D6" s="52"/>
      <c r="E6" s="52"/>
      <c r="F6" s="53">
        <f>'HP用'!E23</f>
        <v>0</v>
      </c>
      <c r="G6" s="54" t="s">
        <v>0</v>
      </c>
    </row>
    <row r="7" spans="1:7" ht="28.5" customHeight="1">
      <c r="A7" s="48"/>
      <c r="B7" s="51" t="s">
        <v>36</v>
      </c>
      <c r="C7" s="52"/>
      <c r="D7" s="52"/>
      <c r="E7" s="52"/>
      <c r="F7" s="53">
        <f>'HP用'!F23</f>
        <v>0</v>
      </c>
      <c r="G7" s="54" t="s">
        <v>0</v>
      </c>
    </row>
    <row r="8" spans="1:7" ht="28.5" customHeight="1">
      <c r="A8" s="48"/>
      <c r="B8" s="55" t="s">
        <v>37</v>
      </c>
      <c r="C8" s="56"/>
      <c r="D8" s="56"/>
      <c r="E8" s="56"/>
      <c r="F8" s="241" t="e">
        <f>VLOOKUP('HP用'!D23,'計算シート26'!$B$52:$C$54,2,1)</f>
        <v>#N/A</v>
      </c>
      <c r="G8" s="242"/>
    </row>
    <row r="9" spans="1:7" ht="28.5" customHeight="1">
      <c r="A9" s="48"/>
      <c r="B9" s="243" t="s">
        <v>39</v>
      </c>
      <c r="C9" s="243"/>
      <c r="D9" s="243"/>
      <c r="E9" s="243"/>
      <c r="F9" s="244" t="str">
        <f>_xlfn.IFERROR(VLOOKUP('計算シート26'!G52,'計算シート26'!$H$52:$I$54,2,1),"1,000万円以下")</f>
        <v>1,000万円以下</v>
      </c>
      <c r="G9" s="244"/>
    </row>
    <row r="10" spans="1:7" ht="4.5" customHeight="1">
      <c r="A10" s="48"/>
      <c r="B10" s="48"/>
      <c r="C10" s="48"/>
      <c r="D10" s="48"/>
      <c r="E10" s="48"/>
      <c r="F10" s="48"/>
      <c r="G10" s="48"/>
    </row>
    <row r="11" spans="1:7" ht="19.5" customHeight="1">
      <c r="A11" s="50"/>
      <c r="B11" s="57" t="s">
        <v>41</v>
      </c>
      <c r="C11" s="48"/>
      <c r="D11" s="48"/>
      <c r="E11" s="48"/>
      <c r="F11" s="48"/>
      <c r="G11" s="48"/>
    </row>
    <row r="12" spans="1:7" ht="19.5" customHeight="1">
      <c r="A12" s="50"/>
      <c r="B12" s="57"/>
      <c r="C12" s="48"/>
      <c r="D12" s="48"/>
      <c r="E12" s="48"/>
      <c r="F12" s="48"/>
      <c r="G12" s="48"/>
    </row>
    <row r="13" spans="1:7" ht="19.5" customHeight="1">
      <c r="A13" s="50" t="s">
        <v>156</v>
      </c>
      <c r="B13" s="57"/>
      <c r="C13" s="48"/>
      <c r="D13" s="48"/>
      <c r="E13" s="48"/>
      <c r="F13" s="48"/>
      <c r="G13" s="48"/>
    </row>
    <row r="14" spans="1:7" ht="90" customHeight="1">
      <c r="A14" s="50"/>
      <c r="B14" s="235" t="s">
        <v>142</v>
      </c>
      <c r="C14" s="236"/>
      <c r="D14" s="236"/>
      <c r="E14" s="237"/>
      <c r="F14" s="238">
        <f>_xlfn.IFERROR('HP用'!C23,"非該当")</f>
        <v>0</v>
      </c>
      <c r="G14" s="239"/>
    </row>
    <row r="15" spans="1:7" ht="28.5" customHeight="1">
      <c r="A15" s="50"/>
      <c r="B15" s="232" t="s">
        <v>42</v>
      </c>
      <c r="C15" s="233"/>
      <c r="D15" s="233"/>
      <c r="E15" s="234"/>
      <c r="F15" s="58" t="str">
        <f>'計算シート16'!I12</f>
        <v>0</v>
      </c>
      <c r="G15" s="59" t="s">
        <v>0</v>
      </c>
    </row>
    <row r="16" spans="1:7" ht="19.5" customHeight="1">
      <c r="A16" s="48"/>
      <c r="B16" s="48"/>
      <c r="C16" s="48"/>
      <c r="D16" s="48"/>
      <c r="E16" s="48"/>
      <c r="F16" s="48"/>
      <c r="G16" s="48"/>
    </row>
    <row r="17" spans="1:7" ht="19.5" customHeight="1">
      <c r="A17" s="50" t="s">
        <v>43</v>
      </c>
      <c r="B17" s="48"/>
      <c r="C17" s="48"/>
      <c r="D17" s="48"/>
      <c r="E17" s="48"/>
      <c r="F17" s="48"/>
      <c r="G17" s="48"/>
    </row>
    <row r="18" spans="1:7" ht="10.5" customHeight="1">
      <c r="A18" s="48"/>
      <c r="B18" s="48"/>
      <c r="C18" s="48"/>
      <c r="D18" s="48"/>
      <c r="E18" s="48"/>
      <c r="F18" s="48"/>
      <c r="G18" s="48"/>
    </row>
    <row r="19" spans="1:7" ht="28.5" customHeight="1">
      <c r="A19" s="48"/>
      <c r="B19" s="51" t="s">
        <v>44</v>
      </c>
      <c r="C19" s="52"/>
      <c r="D19" s="52"/>
      <c r="E19" s="52"/>
      <c r="F19" s="60">
        <f>IF('計算シート16'!C34&lt;=100000,'計算シート16'!C34,'計算シート16'!E34)</f>
        <v>0</v>
      </c>
      <c r="G19" s="54" t="s">
        <v>0</v>
      </c>
    </row>
    <row r="20" spans="1:7" ht="28.5" customHeight="1" thickBot="1">
      <c r="A20" s="48"/>
      <c r="B20" s="51" t="s">
        <v>45</v>
      </c>
      <c r="C20" s="52"/>
      <c r="D20" s="52"/>
      <c r="E20" s="52"/>
      <c r="F20" s="60" t="e">
        <f>IF('計算シート26'!C43&lt;=100000,'計算シート26'!C43,'計算シート26'!E43)</f>
        <v>#N/A</v>
      </c>
      <c r="G20" s="54" t="s">
        <v>0</v>
      </c>
    </row>
    <row r="21" spans="1:7" ht="28.5" customHeight="1" thickTop="1">
      <c r="A21" s="48"/>
      <c r="B21" s="61" t="s">
        <v>46</v>
      </c>
      <c r="C21" s="62"/>
      <c r="D21" s="62"/>
      <c r="E21" s="62"/>
      <c r="F21" s="63" t="e">
        <f>IF('計算シート26'!B49&gt;=0,'計算シート26'!B49,0)</f>
        <v>#N/A</v>
      </c>
      <c r="G21" s="64" t="s">
        <v>0</v>
      </c>
    </row>
    <row r="22" spans="1:7" ht="12.75">
      <c r="A22" s="48"/>
      <c r="B22" s="48"/>
      <c r="C22" s="48"/>
      <c r="D22" s="48"/>
      <c r="E22" s="48"/>
      <c r="F22" s="48"/>
      <c r="G22" s="48"/>
    </row>
    <row r="23" spans="1:7" ht="19.5" customHeight="1">
      <c r="A23" s="50" t="s">
        <v>47</v>
      </c>
      <c r="B23" s="48"/>
      <c r="C23" s="48"/>
      <c r="D23" s="48"/>
      <c r="E23" s="48"/>
      <c r="F23" s="48"/>
      <c r="G23" s="48"/>
    </row>
    <row r="24" spans="1:7" ht="28.5" customHeight="1">
      <c r="A24" s="48"/>
      <c r="B24" s="55" t="s">
        <v>48</v>
      </c>
      <c r="C24" s="56"/>
      <c r="D24" s="56"/>
      <c r="E24" s="65"/>
      <c r="F24" s="80" t="str">
        <f>_xlfn.IFERROR('計算シート16'!C34-('加入者(6)'!F15+'加入者(6)'!F21),"0")</f>
        <v>0</v>
      </c>
      <c r="G24" s="65" t="s">
        <v>0</v>
      </c>
    </row>
    <row r="25" spans="1:7" ht="28.5" customHeight="1" thickBot="1">
      <c r="A25" s="48"/>
      <c r="B25" s="66" t="s">
        <v>49</v>
      </c>
      <c r="C25" s="67"/>
      <c r="D25" s="67"/>
      <c r="E25" s="68"/>
      <c r="F25" s="79" t="str">
        <f>_xlfn.IFERROR('計算シート26'!C43,"0")</f>
        <v>0</v>
      </c>
      <c r="G25" s="68" t="s">
        <v>0</v>
      </c>
    </row>
    <row r="26" spans="1:7" ht="28.5" customHeight="1" thickTop="1">
      <c r="A26" s="48"/>
      <c r="B26" s="69" t="s">
        <v>50</v>
      </c>
      <c r="C26" s="70"/>
      <c r="D26" s="70"/>
      <c r="E26" s="71"/>
      <c r="F26" s="72">
        <f>F24+F25</f>
        <v>0</v>
      </c>
      <c r="G26" s="71" t="s">
        <v>0</v>
      </c>
    </row>
  </sheetData>
  <sheetProtection/>
  <mergeCells count="7">
    <mergeCell ref="B15:E15"/>
    <mergeCell ref="E3:F3"/>
    <mergeCell ref="F8:G8"/>
    <mergeCell ref="B9:E9"/>
    <mergeCell ref="F9:G9"/>
    <mergeCell ref="B14:E14"/>
    <mergeCell ref="F14:G14"/>
  </mergeCells>
  <printOptions/>
  <pageMargins left="0.7" right="0.48" top="0.73" bottom="0.47" header="0.3" footer="0.3"/>
  <pageSetup horizontalDpi="600" verticalDpi="600" orientation="portrait" paperSize="9" scale="97" r:id="rId2"/>
  <drawing r:id="rId1"/>
</worksheet>
</file>

<file path=xl/worksheets/sheet19.xml><?xml version="1.0" encoding="utf-8"?>
<worksheet xmlns="http://schemas.openxmlformats.org/spreadsheetml/2006/main" xmlns:r="http://schemas.openxmlformats.org/officeDocument/2006/relationships">
  <sheetPr codeName="Sheet17"/>
  <dimension ref="A1:L41"/>
  <sheetViews>
    <sheetView zoomScalePageLayoutView="0" workbookViewId="0" topLeftCell="A1">
      <selection activeCell="I10" sqref="I10"/>
    </sheetView>
  </sheetViews>
  <sheetFormatPr defaultColWidth="9.140625" defaultRowHeight="15"/>
  <cols>
    <col min="1" max="1" width="12.140625" style="0" customWidth="1"/>
    <col min="2" max="2" width="4.8515625" style="0" customWidth="1"/>
    <col min="3" max="3" width="14.7109375" style="0" customWidth="1"/>
    <col min="4" max="4" width="12.8515625" style="0" customWidth="1"/>
    <col min="5" max="5" width="16.28125" style="0" customWidth="1"/>
    <col min="6" max="7" width="14.7109375" style="0" customWidth="1"/>
    <col min="8" max="8" width="4.421875" style="0" customWidth="1"/>
    <col min="9" max="9" width="25.00390625" style="34" customWidth="1"/>
    <col min="10" max="10" width="25.00390625" style="0" customWidth="1"/>
    <col min="11" max="13" width="14.7109375" style="0" customWidth="1"/>
    <col min="14" max="18" width="9.00390625" style="0" customWidth="1"/>
  </cols>
  <sheetData>
    <row r="1" ht="12.75">
      <c r="A1" t="s">
        <v>51</v>
      </c>
    </row>
    <row r="3" spans="1:12" ht="12.75">
      <c r="A3" t="s">
        <v>52</v>
      </c>
      <c r="I3" s="245" t="s">
        <v>53</v>
      </c>
      <c r="J3" s="245"/>
      <c r="K3" s="245"/>
      <c r="L3" s="245"/>
    </row>
    <row r="4" spans="9:12" ht="12.75">
      <c r="I4" s="245" t="s">
        <v>54</v>
      </c>
      <c r="J4" s="245"/>
      <c r="K4" s="245"/>
      <c r="L4" s="245"/>
    </row>
    <row r="5" spans="1:12" ht="12.75">
      <c r="A5" t="s">
        <v>35</v>
      </c>
      <c r="E5" s="83">
        <f>IF('加入者(6)'!F6="","",'加入者(6)'!F6)</f>
        <v>0</v>
      </c>
      <c r="F5" t="s">
        <v>0</v>
      </c>
      <c r="I5" s="245" t="s">
        <v>55</v>
      </c>
      <c r="J5" s="245"/>
      <c r="K5" s="245"/>
      <c r="L5" s="245"/>
    </row>
    <row r="6" spans="9:12" ht="12.75">
      <c r="I6" s="245" t="s">
        <v>56</v>
      </c>
      <c r="J6" s="245"/>
      <c r="K6" s="245"/>
      <c r="L6" s="245"/>
    </row>
    <row r="7" spans="1:12" ht="12.75">
      <c r="A7" t="s">
        <v>57</v>
      </c>
      <c r="D7" t="s">
        <v>58</v>
      </c>
      <c r="I7" s="245" t="s">
        <v>59</v>
      </c>
      <c r="J7" s="245"/>
      <c r="K7" s="245"/>
      <c r="L7" s="245"/>
    </row>
    <row r="8" spans="9:10" ht="12.75">
      <c r="I8" s="34" t="s">
        <v>143</v>
      </c>
      <c r="J8" t="s">
        <v>144</v>
      </c>
    </row>
    <row r="9" spans="1:12" ht="13.5" customHeight="1">
      <c r="A9">
        <v>1</v>
      </c>
      <c r="B9" t="s">
        <v>60</v>
      </c>
      <c r="C9" s="35">
        <v>550999</v>
      </c>
      <c r="D9" t="s">
        <v>61</v>
      </c>
      <c r="I9" s="34" t="s">
        <v>62</v>
      </c>
      <c r="J9" s="246" t="s">
        <v>63</v>
      </c>
      <c r="K9" s="246"/>
      <c r="L9" s="36"/>
    </row>
    <row r="10" spans="1:12" ht="12.75">
      <c r="A10" s="35">
        <v>551000</v>
      </c>
      <c r="B10" t="s">
        <v>60</v>
      </c>
      <c r="C10" s="35">
        <v>1618999</v>
      </c>
      <c r="D10" t="s">
        <v>64</v>
      </c>
      <c r="I10" s="84" t="b">
        <f>IF('加入者(6)'!F14="該当",E5)</f>
        <v>0</v>
      </c>
      <c r="J10" s="37">
        <f>C34</f>
        <v>0</v>
      </c>
      <c r="K10" s="38"/>
      <c r="L10" s="36"/>
    </row>
    <row r="11" spans="1:12" ht="12.75">
      <c r="A11" s="35">
        <v>1619000</v>
      </c>
      <c r="B11" t="s">
        <v>60</v>
      </c>
      <c r="C11" s="35">
        <v>1619999</v>
      </c>
      <c r="D11" t="s">
        <v>65</v>
      </c>
      <c r="I11" s="34" t="s">
        <v>66</v>
      </c>
      <c r="J11" s="36"/>
      <c r="K11" s="36"/>
      <c r="L11" s="36"/>
    </row>
    <row r="12" spans="1:12" ht="12.75">
      <c r="A12" s="35">
        <v>1620000</v>
      </c>
      <c r="B12" t="s">
        <v>60</v>
      </c>
      <c r="C12" s="35">
        <v>1621999</v>
      </c>
      <c r="D12" t="s">
        <v>67</v>
      </c>
      <c r="I12" s="39" t="str">
        <f>_xlfn.IFERROR(VLOOKUP(I10,$J$20:$L$21,3,1),"0")</f>
        <v>0</v>
      </c>
      <c r="J12" s="36"/>
      <c r="K12" s="38"/>
      <c r="L12" s="36"/>
    </row>
    <row r="13" spans="1:10" ht="12.75">
      <c r="A13" s="35">
        <v>1622000</v>
      </c>
      <c r="B13" t="s">
        <v>60</v>
      </c>
      <c r="C13" s="35">
        <v>1623999</v>
      </c>
      <c r="D13" t="s">
        <v>68</v>
      </c>
      <c r="I13" s="245" t="s">
        <v>69</v>
      </c>
      <c r="J13" s="245"/>
    </row>
    <row r="14" spans="1:12" ht="12.75">
      <c r="A14" s="35">
        <v>1624000</v>
      </c>
      <c r="B14" t="s">
        <v>60</v>
      </c>
      <c r="C14" s="35">
        <v>1627999</v>
      </c>
      <c r="D14" t="s">
        <v>70</v>
      </c>
      <c r="I14" s="34">
        <f>_xlfn.IFERROR(J10-I12,"0")</f>
        <v>0</v>
      </c>
      <c r="J14" s="36"/>
      <c r="K14" s="36"/>
      <c r="L14" s="36"/>
    </row>
    <row r="15" spans="1:12" ht="12.75">
      <c r="A15" s="35">
        <v>1628000</v>
      </c>
      <c r="B15" t="s">
        <v>60</v>
      </c>
      <c r="C15" s="35">
        <v>1799999</v>
      </c>
      <c r="D15" t="s">
        <v>71</v>
      </c>
      <c r="I15" s="40"/>
      <c r="J15" s="36"/>
      <c r="K15" s="38"/>
      <c r="L15" s="38"/>
    </row>
    <row r="16" spans="1:12" ht="12.75">
      <c r="A16" s="35">
        <v>1800000</v>
      </c>
      <c r="B16" t="s">
        <v>60</v>
      </c>
      <c r="C16" s="35">
        <v>3599999</v>
      </c>
      <c r="D16" t="s">
        <v>72</v>
      </c>
      <c r="J16" s="36"/>
      <c r="K16" s="38"/>
      <c r="L16" s="38"/>
    </row>
    <row r="17" spans="1:4" ht="12.75">
      <c r="A17" s="35">
        <v>3600000</v>
      </c>
      <c r="B17" t="s">
        <v>60</v>
      </c>
      <c r="C17" s="35">
        <v>6599999</v>
      </c>
      <c r="D17" t="s">
        <v>73</v>
      </c>
    </row>
    <row r="18" spans="1:4" ht="12.75">
      <c r="A18" s="35">
        <v>6600000</v>
      </c>
      <c r="B18" t="s">
        <v>60</v>
      </c>
      <c r="C18" s="35">
        <v>8499999</v>
      </c>
      <c r="D18" t="s">
        <v>74</v>
      </c>
    </row>
    <row r="19" spans="1:12" ht="12.75">
      <c r="A19" s="35">
        <v>8500000</v>
      </c>
      <c r="B19" t="s">
        <v>75</v>
      </c>
      <c r="D19" t="s">
        <v>76</v>
      </c>
      <c r="I19" s="34" t="s">
        <v>77</v>
      </c>
      <c r="J19" s="36" t="s">
        <v>78</v>
      </c>
      <c r="K19" s="36" t="s">
        <v>79</v>
      </c>
      <c r="L19" s="36" t="s">
        <v>80</v>
      </c>
    </row>
    <row r="20" spans="9:12" ht="12.75">
      <c r="I20" s="34" t="s">
        <v>81</v>
      </c>
      <c r="J20" s="36">
        <v>8500000</v>
      </c>
      <c r="K20" s="38" t="b">
        <f>I10</f>
        <v>0</v>
      </c>
      <c r="L20" s="38">
        <f>(K20-8500000)*0.1</f>
        <v>-850000</v>
      </c>
    </row>
    <row r="21" spans="9:12" ht="12.75">
      <c r="I21" s="34" t="s">
        <v>82</v>
      </c>
      <c r="J21" s="36">
        <v>10000001</v>
      </c>
      <c r="K21" s="38" t="b">
        <f>I10</f>
        <v>0</v>
      </c>
      <c r="L21" s="38">
        <f>(10000000-8500000)*0.1</f>
        <v>150000</v>
      </c>
    </row>
    <row r="22" ht="12.75">
      <c r="C22" t="s">
        <v>83</v>
      </c>
    </row>
    <row r="23" ht="12.75">
      <c r="C23">
        <f>IF(E5&lt;=C9,0,0)</f>
        <v>0</v>
      </c>
    </row>
    <row r="24" ht="12.75">
      <c r="C24">
        <f>IF(AND($E$5&gt;=A10,$E$5&lt;=C10),$E$5-550000,0)</f>
        <v>0</v>
      </c>
    </row>
    <row r="25" ht="12.75">
      <c r="C25">
        <f>IF(AND($E$5&gt;=A11,$E$5&lt;=C11),1069000,0)</f>
        <v>0</v>
      </c>
    </row>
    <row r="26" ht="12.75">
      <c r="C26">
        <f>IF(AND($E$5&gt;=A12,$E$5&lt;=C12),1070000,0)</f>
        <v>0</v>
      </c>
    </row>
    <row r="27" ht="12.75">
      <c r="C27">
        <f>IF(AND($E$5&gt;=A13,$E$5&lt;=C13),1072000,0)</f>
        <v>0</v>
      </c>
    </row>
    <row r="28" ht="12.75">
      <c r="C28">
        <f>IF(AND($E$5&gt;=A14,$E$5&lt;=C14),1074000,0)</f>
        <v>0</v>
      </c>
    </row>
    <row r="29" ht="12.75">
      <c r="C29">
        <f>IF(AND($E$5&gt;=A15,$E$5&lt;=C15),ROUNDDOWN($E$5/4,-3)*2.4+100000,0)</f>
        <v>0</v>
      </c>
    </row>
    <row r="30" ht="12.75">
      <c r="C30">
        <f>IF(AND($E$5&gt;=A16,$E$5&lt;=C16),ROUNDDOWN($E$5/4,-3)*2.8-80000,0)</f>
        <v>0</v>
      </c>
    </row>
    <row r="31" ht="12.75">
      <c r="C31">
        <f>IF(AND($E$5&gt;=A17,$E$5&lt;=C17),ROUNDDOWN($E$5/4,-3)*3.2-440000,0)</f>
        <v>0</v>
      </c>
    </row>
    <row r="32" ht="12.75">
      <c r="C32">
        <f>IF(AND($E$5&gt;=A18,$E$5&lt;=C18),ROUNDDOWN($E$5*0.9,0)-1100000,0)</f>
        <v>0</v>
      </c>
    </row>
    <row r="33" ht="12.75">
      <c r="C33">
        <f>IF($E$5&gt;=A19,$E$5-1950000,0)</f>
        <v>0</v>
      </c>
    </row>
    <row r="34" spans="1:6" ht="12.75">
      <c r="A34" t="s">
        <v>33</v>
      </c>
      <c r="C34">
        <f>SUM(C23:C33)</f>
        <v>0</v>
      </c>
      <c r="E34">
        <v>100000</v>
      </c>
      <c r="F34" t="s">
        <v>84</v>
      </c>
    </row>
    <row r="37" ht="12.75">
      <c r="A37" t="s">
        <v>85</v>
      </c>
    </row>
    <row r="38" ht="12.75">
      <c r="A38" t="s">
        <v>86</v>
      </c>
    </row>
    <row r="39" ht="12.75">
      <c r="A39" t="s">
        <v>55</v>
      </c>
    </row>
    <row r="40" ht="12.75">
      <c r="A40" t="s">
        <v>56</v>
      </c>
    </row>
    <row r="41" ht="12.75">
      <c r="A41" t="s">
        <v>59</v>
      </c>
    </row>
  </sheetData>
  <sheetProtection/>
  <mergeCells count="7">
    <mergeCell ref="I13:J13"/>
    <mergeCell ref="I3:L3"/>
    <mergeCell ref="I4:L4"/>
    <mergeCell ref="I5:L5"/>
    <mergeCell ref="I6:L6"/>
    <mergeCell ref="I7:L7"/>
    <mergeCell ref="J9:K9"/>
  </mergeCells>
  <printOptions/>
  <pageMargins left="0.7" right="0.7" top="0.75" bottom="0.75" header="0.3" footer="0.3"/>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codeName="Sheet23">
    <pageSetUpPr fitToPage="1"/>
  </sheetPr>
  <dimension ref="A1:N27"/>
  <sheetViews>
    <sheetView zoomScalePageLayoutView="0" workbookViewId="0" topLeftCell="B7">
      <selection activeCell="P13" sqref="P13"/>
    </sheetView>
  </sheetViews>
  <sheetFormatPr defaultColWidth="9.140625" defaultRowHeight="15"/>
  <cols>
    <col min="1" max="1" width="17.140625" style="0" customWidth="1"/>
    <col min="2" max="4" width="11.28125" style="0" bestFit="1" customWidth="1"/>
    <col min="5" max="5" width="10.8515625" style="0" bestFit="1" customWidth="1"/>
    <col min="6" max="6" width="11.28125" style="0" bestFit="1" customWidth="1"/>
    <col min="7" max="7" width="5.7109375" style="0" customWidth="1"/>
    <col min="8" max="8" width="13.00390625" style="0" bestFit="1" customWidth="1"/>
    <col min="9" max="9" width="9.28125" style="0" bestFit="1" customWidth="1"/>
    <col min="10" max="10" width="9.28125" style="0" customWidth="1"/>
    <col min="11" max="11" width="9.28125" style="0" bestFit="1" customWidth="1"/>
    <col min="12" max="12" width="9.28125" style="0" customWidth="1"/>
    <col min="13" max="13" width="13.421875" style="0" bestFit="1" customWidth="1"/>
  </cols>
  <sheetData>
    <row r="1" ht="13.5" thickBot="1">
      <c r="H1" t="s">
        <v>230</v>
      </c>
    </row>
    <row r="2" spans="1:12" ht="15" thickBot="1">
      <c r="A2" s="42"/>
      <c r="B2" s="42" t="s">
        <v>167</v>
      </c>
      <c r="C2" s="42" t="s">
        <v>168</v>
      </c>
      <c r="D2" s="42" t="s">
        <v>203</v>
      </c>
      <c r="E2" s="42" t="s">
        <v>4</v>
      </c>
      <c r="F2" s="111" t="s">
        <v>33</v>
      </c>
      <c r="H2" s="172">
        <v>3</v>
      </c>
      <c r="I2" s="141" t="s">
        <v>229</v>
      </c>
      <c r="J2" s="141"/>
      <c r="K2" s="141"/>
      <c r="L2" s="141"/>
    </row>
    <row r="3" spans="1:14" ht="13.5" thickBot="1">
      <c r="A3" s="42" t="s">
        <v>169</v>
      </c>
      <c r="B3" s="89">
        <f>SUM('HP用'!$S$18:$S$24)</f>
        <v>0</v>
      </c>
      <c r="C3" s="89">
        <f>SUM('HP用'!$T$18:$T$24)</f>
        <v>0</v>
      </c>
      <c r="D3" s="89">
        <f>SUM('HP用'!$U$18:$U$24,-D24)</f>
        <v>0</v>
      </c>
      <c r="E3" s="150">
        <f>SUM('HP用'!$G$18:$G$24)</f>
        <v>0</v>
      </c>
      <c r="F3" s="151">
        <f>SUM(B3:E3)</f>
        <v>0</v>
      </c>
      <c r="H3" s="155"/>
      <c r="I3" s="141" t="s">
        <v>219</v>
      </c>
      <c r="J3" s="141"/>
      <c r="K3" s="141"/>
      <c r="L3" s="141"/>
      <c r="M3" s="141"/>
      <c r="N3" s="141"/>
    </row>
    <row r="4" spans="4:13" ht="13.5" thickBot="1">
      <c r="D4" t="s">
        <v>226</v>
      </c>
      <c r="H4" s="224" t="s">
        <v>220</v>
      </c>
      <c r="I4" s="225"/>
      <c r="J4" s="225"/>
      <c r="K4" s="225"/>
      <c r="L4" s="225"/>
      <c r="M4" s="226"/>
    </row>
    <row r="5" spans="1:13" ht="13.5" thickBot="1">
      <c r="A5" s="159" t="s">
        <v>170</v>
      </c>
      <c r="B5" s="160">
        <f>IF(F3&lt;=430000+F13,7,IF(F3&lt;=K13*B7+430000+F13,5,IF(F3&lt;=I13*B7+430000+F13,2,0)))</f>
        <v>7</v>
      </c>
      <c r="H5" s="42" t="s">
        <v>171</v>
      </c>
      <c r="I5" s="90" t="s">
        <v>172</v>
      </c>
      <c r="J5" s="91"/>
      <c r="K5" s="90" t="s">
        <v>173</v>
      </c>
      <c r="L5" s="91"/>
      <c r="M5" s="92" t="s">
        <v>174</v>
      </c>
    </row>
    <row r="6" spans="1:13" ht="12.75">
      <c r="A6" t="s">
        <v>228</v>
      </c>
      <c r="H6" s="93" t="s">
        <v>175</v>
      </c>
      <c r="I6" s="94">
        <f>IF(H2=3,I15,IF(H2=2,I16,IF(H2=31,I17,IF(H2=30,I18,IF(H2=29,I19,IF(H2=28,I20,IF(H2=27,I21)))))))*1+N15</f>
        <v>950000</v>
      </c>
      <c r="J6" s="95" t="s">
        <v>176</v>
      </c>
      <c r="K6" s="96">
        <f>IF(H2=3,K15,IF(H2=2,K16,IF(H2=31,K17,IF(H2=30,K18,IF(H2=29,K19,IF(H2=28,K20,IF(H2=27,K21)))))))*1+N15</f>
        <v>715000</v>
      </c>
      <c r="L6" s="95" t="s">
        <v>176</v>
      </c>
      <c r="M6" s="227" t="s">
        <v>187</v>
      </c>
    </row>
    <row r="7" spans="1:13" ht="12.75">
      <c r="A7" s="42" t="s">
        <v>177</v>
      </c>
      <c r="B7" s="42">
        <f>'HP用'!R6</f>
        <v>0</v>
      </c>
      <c r="D7" s="230" t="s">
        <v>193</v>
      </c>
      <c r="E7" s="230"/>
      <c r="F7" s="92">
        <f>'HP用'!W42</f>
        <v>0</v>
      </c>
      <c r="H7" s="93" t="s">
        <v>178</v>
      </c>
      <c r="I7" s="94">
        <f>IF(H2=3,I15,IF(H2=2,I16,IF(H2=31,I17,IF(H2=30,I18,IF(H2=29,I19,IF(H2=28,I20,IF(H2=27,I21)))))))*2+N15</f>
        <v>1470000</v>
      </c>
      <c r="J7" s="95" t="s">
        <v>176</v>
      </c>
      <c r="K7" s="96">
        <f>IF(H2=3,K15,IF(H2=2,K16,IF(H2=31,K17,IF(H2=30,K18,IF(H2=29,K19,IF(H2=28,K20,IF(H2=27,K21)))))))*2+N15</f>
        <v>1000000</v>
      </c>
      <c r="L7" s="95" t="s">
        <v>176</v>
      </c>
      <c r="M7" s="228"/>
    </row>
    <row r="8" spans="3:13" ht="12.75">
      <c r="C8" s="121"/>
      <c r="D8" s="121"/>
      <c r="E8" s="121"/>
      <c r="F8" s="114"/>
      <c r="H8" s="93" t="s">
        <v>179</v>
      </c>
      <c r="I8" s="94">
        <f>IF(H2=3,I15,IF(H2=2,I16,IF(H2=31,I17,IF(H2=30,I18,IF(H2=29,I19,IF(H2=28,I20,IF(H2=27,I21)))))))*3+N15</f>
        <v>1990000</v>
      </c>
      <c r="J8" s="95" t="s">
        <v>176</v>
      </c>
      <c r="K8" s="96">
        <f>IF(H2=3,K15,IF(H2=2,K16,IF(H2=31,K17,IF(H2=30,K18,IF(H2=29,K19,IF(H2=28,K20,IF(H2=27,K21)))))))*3+N15</f>
        <v>1285000</v>
      </c>
      <c r="L8" s="95" t="s">
        <v>176</v>
      </c>
      <c r="M8" s="228"/>
    </row>
    <row r="9" spans="1:13" ht="12.75">
      <c r="A9" s="111" t="s">
        <v>195</v>
      </c>
      <c r="B9" s="117" t="s">
        <v>193</v>
      </c>
      <c r="C9" s="112"/>
      <c r="D9" s="114"/>
      <c r="E9" s="115"/>
      <c r="F9" s="118" t="s">
        <v>191</v>
      </c>
      <c r="G9" s="119"/>
      <c r="H9" s="93" t="s">
        <v>180</v>
      </c>
      <c r="I9" s="94">
        <f>IF(H2=3,I15,IF(H2=2,I16,IF(H2=31,I17,IF(H2=30,I18,IF(H2=29,I19,IF(H2=28,I20,IF(H2=27,I21)))))))*4+N15</f>
        <v>2510000</v>
      </c>
      <c r="J9" s="95" t="s">
        <v>176</v>
      </c>
      <c r="K9" s="96">
        <f>IF(H2=3,K15,IF(H2=2,K16,IF(H2=31,K17,IF(H2=30,K18,IF(H2=29,K19,IF(H2=28,K20,IF(H2=27,K21)))))))*4+N15</f>
        <v>1570000</v>
      </c>
      <c r="L9" s="95" t="s">
        <v>176</v>
      </c>
      <c r="M9" s="228"/>
    </row>
    <row r="10" spans="1:13" ht="12.75">
      <c r="A10" s="110" t="s">
        <v>192</v>
      </c>
      <c r="B10" s="102">
        <f>F7</f>
        <v>0</v>
      </c>
      <c r="C10" s="113" t="s">
        <v>196</v>
      </c>
      <c r="D10" s="113">
        <v>1</v>
      </c>
      <c r="E10" s="113" t="s">
        <v>194</v>
      </c>
      <c r="F10" s="122">
        <f>B10-D10</f>
        <v>-1</v>
      </c>
      <c r="G10" s="120"/>
      <c r="H10" s="93" t="s">
        <v>181</v>
      </c>
      <c r="I10" s="94">
        <f>IF(H2=3,I15,IF(H2=2,I16,IF(H2=31,I17,IF(H2=30,I18,IF(H2=29,I19,IF(H2=28,I20,IF(H2=27,I20)))))))*5+N15</f>
        <v>3030000</v>
      </c>
      <c r="J10" s="95" t="s">
        <v>176</v>
      </c>
      <c r="K10" s="96">
        <f>IF(H2=3,K15,IF(H2=2,K16,IF(H2=31,K17,IF(H2=30,K18,IF(H2=29,K19,IF(H2=28,K20,IF(H2=27,K21)))))))*5+N15</f>
        <v>1855000</v>
      </c>
      <c r="L10" s="95" t="s">
        <v>176</v>
      </c>
      <c r="M10" s="228"/>
    </row>
    <row r="11" spans="5:13" ht="12.75">
      <c r="E11" s="123"/>
      <c r="H11" s="93" t="s">
        <v>182</v>
      </c>
      <c r="I11" s="94">
        <f>IF(H2=3,I15,IF(H2=2,I16,IF(H2=31,I17,IF(H2=30,I18,IF(H2=29,I19,IF(H2=28,I20,IF(H2=27,I21)))))))*6+N15</f>
        <v>3550000</v>
      </c>
      <c r="J11" s="95" t="s">
        <v>176</v>
      </c>
      <c r="K11" s="96">
        <f>IF(H2=3,K15,IF(H2=2,K16,IF(H2=31,K17,IF(H2=30,K18,IF(H2=29,K19,IF(H2=28,K20,IF(H2=27,K21)))))))*6+N15</f>
        <v>2140000</v>
      </c>
      <c r="L11" s="95" t="s">
        <v>176</v>
      </c>
      <c r="M11" s="228"/>
    </row>
    <row r="12" spans="1:13" ht="13.5" thickBot="1">
      <c r="A12" s="158" t="s">
        <v>227</v>
      </c>
      <c r="B12" s="100">
        <v>100000</v>
      </c>
      <c r="C12" s="116" t="s">
        <v>197</v>
      </c>
      <c r="D12" s="101">
        <f>F10</f>
        <v>-1</v>
      </c>
      <c r="E12" s="101" t="s">
        <v>194</v>
      </c>
      <c r="F12" s="153">
        <f>B12*D12</f>
        <v>-100000</v>
      </c>
      <c r="H12" s="93" t="s">
        <v>183</v>
      </c>
      <c r="I12" s="94">
        <f>IF(H2=3,I15,IF(H2=2,I16,IF(H2=31,I17,IF(H2=30,I18,IF(H2=29,I19,IF(H2=28,I20,IF(H2=27,I21)))))))*7+N15</f>
        <v>4070000</v>
      </c>
      <c r="J12" s="95" t="s">
        <v>176</v>
      </c>
      <c r="K12" s="96">
        <f>IF(H2=3,K15,IF(H2=2,K16,IF(H2=31,K17,IF(H2=30,K18,IF(H2=29,K19,IF(H2=28,K20,IF(H2=27,K21)))))))*7+N15</f>
        <v>2425000</v>
      </c>
      <c r="L12" s="95" t="s">
        <v>176</v>
      </c>
      <c r="M12" s="229"/>
    </row>
    <row r="13" spans="4:13" ht="13.5" thickBot="1">
      <c r="D13" s="121"/>
      <c r="E13" s="128" t="s">
        <v>198</v>
      </c>
      <c r="F13" s="152">
        <f>IF(F12&gt;=1,F12,0)</f>
        <v>0</v>
      </c>
      <c r="G13" s="126"/>
      <c r="H13" s="93" t="s">
        <v>184</v>
      </c>
      <c r="I13" s="94">
        <f>IF(H2=3,I15,IF(H2=2,I16,IF(H2=31,I17,IF(H2=30,I18,IF(H2=29,I19,IF(H2=28,I20,IF(H2=27,I21)))))))</f>
        <v>520000</v>
      </c>
      <c r="J13" s="95" t="s">
        <v>185</v>
      </c>
      <c r="K13" s="96">
        <f>IF(H2=3,K15,IF(H2=2,K16,IF(H2=31,K17,IF(H2=30,K18,IF(H2=29,K19,IF(H2=28,K20,IF(H2=27,K21)))))))</f>
        <v>285000</v>
      </c>
      <c r="L13" s="95" t="s">
        <v>185</v>
      </c>
      <c r="M13" s="93" t="s">
        <v>186</v>
      </c>
    </row>
    <row r="14" spans="2:14" ht="13.5" thickBot="1">
      <c r="B14" s="98"/>
      <c r="F14" s="127"/>
      <c r="H14" s="167"/>
      <c r="I14" s="167"/>
      <c r="J14" s="167"/>
      <c r="K14" s="167"/>
      <c r="L14" s="97"/>
      <c r="M14" s="167"/>
      <c r="N14" s="168"/>
    </row>
    <row r="15" spans="1:14" ht="13.5" thickBot="1">
      <c r="A15" s="157" t="s">
        <v>225</v>
      </c>
      <c r="B15" s="41" t="s">
        <v>205</v>
      </c>
      <c r="C15">
        <v>150000</v>
      </c>
      <c r="H15" s="175">
        <v>3</v>
      </c>
      <c r="I15" s="176">
        <v>520000</v>
      </c>
      <c r="J15" s="177"/>
      <c r="K15" s="178">
        <v>285000</v>
      </c>
      <c r="L15" s="171"/>
      <c r="M15" s="169" t="s">
        <v>252</v>
      </c>
      <c r="N15" s="174">
        <v>430000</v>
      </c>
    </row>
    <row r="16" spans="1:14" ht="12.75">
      <c r="A16" s="42" t="s">
        <v>200</v>
      </c>
      <c r="B16" s="42" t="s">
        <v>201</v>
      </c>
      <c r="C16" s="120"/>
      <c r="D16" s="131" t="s">
        <v>206</v>
      </c>
      <c r="E16" s="121"/>
      <c r="H16" s="179"/>
      <c r="I16" s="180"/>
      <c r="J16" s="181"/>
      <c r="K16" s="182"/>
      <c r="N16" s="166"/>
    </row>
    <row r="17" spans="1:12" ht="12.75">
      <c r="A17" s="125" t="s">
        <v>5</v>
      </c>
      <c r="B17" s="93">
        <f>'HP用'!U18-150000</f>
        <v>-150000</v>
      </c>
      <c r="C17" s="136">
        <f>IF(B17&lt;=150000,B17,C15)</f>
        <v>-150000</v>
      </c>
      <c r="D17" s="134" t="str">
        <f>IF(C17&gt;=0,C17,"0")</f>
        <v>0</v>
      </c>
      <c r="H17" s="179"/>
      <c r="I17" s="180"/>
      <c r="J17" s="181"/>
      <c r="K17" s="182"/>
      <c r="L17" s="170"/>
    </row>
    <row r="18" spans="1:11" ht="12.75">
      <c r="A18" s="125" t="s">
        <v>6</v>
      </c>
      <c r="B18" s="93">
        <f>'HP用'!U19-150000</f>
        <v>-150000</v>
      </c>
      <c r="C18" s="136">
        <f>IF(B18&lt;=150000,B18,C15)</f>
        <v>-150000</v>
      </c>
      <c r="D18" s="134" t="str">
        <f aca="true" t="shared" si="0" ref="D18:D23">IF(C18&gt;=0,C18,"0")</f>
        <v>0</v>
      </c>
      <c r="H18" s="179"/>
      <c r="I18" s="180"/>
      <c r="J18" s="181"/>
      <c r="K18" s="182"/>
    </row>
    <row r="19" spans="1:11" ht="12.75">
      <c r="A19" s="125" t="s">
        <v>7</v>
      </c>
      <c r="B19" s="93">
        <f>'HP用'!U20-150000</f>
        <v>-150000</v>
      </c>
      <c r="C19" s="136">
        <f>IF(B19&lt;=150000,B19,C15)</f>
        <v>-150000</v>
      </c>
      <c r="D19" s="132" t="str">
        <f t="shared" si="0"/>
        <v>0</v>
      </c>
      <c r="H19" s="179"/>
      <c r="I19" s="180"/>
      <c r="J19" s="181"/>
      <c r="K19" s="182"/>
    </row>
    <row r="20" spans="1:13" ht="12.75">
      <c r="A20" s="125" t="s">
        <v>8</v>
      </c>
      <c r="B20" s="93">
        <f>'HP用'!U21-150000</f>
        <v>-150000</v>
      </c>
      <c r="C20" s="136">
        <f>IF(B20&lt;=150000,B20,C15)</f>
        <v>-150000</v>
      </c>
      <c r="D20" s="134" t="str">
        <f t="shared" si="0"/>
        <v>0</v>
      </c>
      <c r="H20" s="179"/>
      <c r="I20" s="180"/>
      <c r="J20" s="181"/>
      <c r="K20" s="182"/>
      <c r="M20" s="121"/>
    </row>
    <row r="21" spans="1:13" ht="12.75">
      <c r="A21" s="125" t="s">
        <v>9</v>
      </c>
      <c r="B21" s="93">
        <f>'HP用'!U22-150000</f>
        <v>-150000</v>
      </c>
      <c r="C21" s="136">
        <f>IF(B21&lt;=150000,B21,C15)</f>
        <v>-150000</v>
      </c>
      <c r="D21" s="134" t="str">
        <f>IF(C21&gt;=0,C21,"0")</f>
        <v>0</v>
      </c>
      <c r="H21" s="179"/>
      <c r="I21" s="180"/>
      <c r="J21" s="181"/>
      <c r="K21" s="182"/>
      <c r="M21" s="173"/>
    </row>
    <row r="22" spans="1:11" ht="12.75">
      <c r="A22" s="125" t="s">
        <v>10</v>
      </c>
      <c r="B22" s="93">
        <f>'HP用'!U23-150000</f>
        <v>-150000</v>
      </c>
      <c r="C22" s="136">
        <f>IF(B22&lt;=150000,B22,C15)</f>
        <v>-150000</v>
      </c>
      <c r="D22" s="134" t="str">
        <f t="shared" si="0"/>
        <v>0</v>
      </c>
      <c r="E22" s="130"/>
      <c r="H22" s="179"/>
      <c r="I22" s="180"/>
      <c r="J22" s="181"/>
      <c r="K22" s="182"/>
    </row>
    <row r="23" spans="1:11" ht="13.5" thickBot="1">
      <c r="A23" s="125" t="s">
        <v>11</v>
      </c>
      <c r="B23" s="93">
        <f>'HP用'!U24-150000</f>
        <v>-150000</v>
      </c>
      <c r="C23" s="135">
        <f>IF(B23&lt;=150000,B23,C15)</f>
        <v>-150000</v>
      </c>
      <c r="D23" s="133" t="str">
        <f t="shared" si="0"/>
        <v>0</v>
      </c>
      <c r="E23" s="130"/>
      <c r="H23" s="183"/>
      <c r="I23" s="184"/>
      <c r="J23" s="181"/>
      <c r="K23" s="185"/>
    </row>
    <row r="24" spans="2:11" ht="13.5" thickBot="1">
      <c r="B24" s="224" t="s">
        <v>204</v>
      </c>
      <c r="C24" s="231"/>
      <c r="D24" s="129">
        <f>SUM(D17:D23)</f>
        <v>0</v>
      </c>
      <c r="H24" s="186"/>
      <c r="I24" s="187">
        <f>IF(H2=3,I15,IF(H2=2,I16,IF(H2=31,I17,IF(H2=30,I18,IF(H2=29,I19,IF(H2=28,I20,IF(H2=27,I21)))))))</f>
        <v>520000</v>
      </c>
      <c r="J24" s="187"/>
      <c r="K24" s="188">
        <f>IF(H2=3,K15,IF(H2=2,K16,IF(H2=31,K17,IF(H2=30,K18,IF(H2=29,K19,IF(H2=28,K20,IF(H2=27,K21)))))))</f>
        <v>285000</v>
      </c>
    </row>
    <row r="25" spans="2:3" ht="12.75">
      <c r="B25" s="121"/>
      <c r="C25" s="121"/>
    </row>
    <row r="27" ht="12.75">
      <c r="H27" t="s">
        <v>215</v>
      </c>
    </row>
  </sheetData>
  <sheetProtection selectLockedCells="1"/>
  <protectedRanges>
    <protectedRange sqref="H2" name="範囲1"/>
  </protectedRanges>
  <mergeCells count="4">
    <mergeCell ref="H4:M4"/>
    <mergeCell ref="M6:M12"/>
    <mergeCell ref="D7:E7"/>
    <mergeCell ref="B24:C24"/>
  </mergeCells>
  <printOptions/>
  <pageMargins left="0.7" right="0.7" top="0.75" bottom="0.75" header="0.3" footer="0.3"/>
  <pageSetup fitToHeight="0" fitToWidth="1"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sheetPr codeName="Sheet18"/>
  <dimension ref="A1:R54"/>
  <sheetViews>
    <sheetView zoomScalePageLayoutView="0" workbookViewId="0" topLeftCell="A34">
      <selection activeCell="B49" sqref="B49"/>
    </sheetView>
  </sheetViews>
  <sheetFormatPr defaultColWidth="9.140625" defaultRowHeight="15"/>
  <cols>
    <col min="1" max="1" width="4.00390625" style="0" customWidth="1"/>
    <col min="2" max="2" width="13.28125" style="0" customWidth="1"/>
    <col min="3" max="3" width="13.00390625" style="0" customWidth="1"/>
    <col min="4" max="4" width="3.8515625" style="0" customWidth="1"/>
    <col min="5" max="5" width="12.140625" style="0" customWidth="1"/>
    <col min="6" max="6" width="25.421875" style="0" customWidth="1"/>
    <col min="7" max="7" width="10.8515625" style="0" customWidth="1"/>
    <col min="8" max="8" width="14.421875" style="0" customWidth="1"/>
    <col min="9" max="9" width="10.8515625" style="0" customWidth="1"/>
    <col min="10" max="10" width="9.00390625" style="0" customWidth="1"/>
    <col min="11" max="11" width="10.7109375" style="0" customWidth="1"/>
    <col min="12" max="12" width="25.140625" style="0" customWidth="1"/>
    <col min="13" max="14" width="9.00390625" style="0" customWidth="1"/>
    <col min="15" max="15" width="11.140625" style="0" customWidth="1"/>
    <col min="16" max="16" width="9.00390625" style="0" customWidth="1"/>
    <col min="17" max="17" width="11.140625" style="0" customWidth="1"/>
    <col min="18" max="18" width="24.7109375" style="0" customWidth="1"/>
  </cols>
  <sheetData>
    <row r="1" ht="12.75">
      <c r="A1" t="s">
        <v>87</v>
      </c>
    </row>
    <row r="3" ht="12.75">
      <c r="A3" t="s">
        <v>88</v>
      </c>
    </row>
    <row r="5" spans="2:7" ht="12.75">
      <c r="B5" t="s">
        <v>89</v>
      </c>
      <c r="F5" s="83">
        <f>'加入者(6)'!F7</f>
        <v>0</v>
      </c>
      <c r="G5" t="s">
        <v>0</v>
      </c>
    </row>
    <row r="6" spans="2:10" ht="12.75">
      <c r="B6" t="s">
        <v>90</v>
      </c>
      <c r="F6" s="88" t="e">
        <f>'加入者(6)'!F8</f>
        <v>#N/A</v>
      </c>
      <c r="H6" t="s">
        <v>38</v>
      </c>
      <c r="J6" t="s">
        <v>40</v>
      </c>
    </row>
    <row r="7" spans="2:10" ht="12.75">
      <c r="B7" t="s">
        <v>91</v>
      </c>
      <c r="F7" s="88" t="str">
        <f>'加入者(6)'!F9</f>
        <v>1,000万円以下</v>
      </c>
      <c r="H7" t="s">
        <v>92</v>
      </c>
      <c r="J7" t="s">
        <v>93</v>
      </c>
    </row>
    <row r="8" ht="12.75">
      <c r="J8" t="s">
        <v>94</v>
      </c>
    </row>
    <row r="10" ht="12.75">
      <c r="B10" t="s">
        <v>95</v>
      </c>
    </row>
    <row r="11" spans="2:14" ht="12.75">
      <c r="B11" t="str">
        <f>J6</f>
        <v>1,000万円以下</v>
      </c>
      <c r="H11" t="str">
        <f>J7</f>
        <v>1,000万円超2,000万円以下</v>
      </c>
      <c r="N11" t="str">
        <f>J8</f>
        <v>2,000万円超</v>
      </c>
    </row>
    <row r="12" spans="2:18" ht="29.25" customHeight="1">
      <c r="B12" s="42" t="s">
        <v>96</v>
      </c>
      <c r="C12" s="247" t="s">
        <v>97</v>
      </c>
      <c r="D12" s="248"/>
      <c r="E12" s="249"/>
      <c r="F12" s="42" t="s">
        <v>98</v>
      </c>
      <c r="H12" s="42" t="s">
        <v>96</v>
      </c>
      <c r="I12" s="247" t="s">
        <v>97</v>
      </c>
      <c r="J12" s="248"/>
      <c r="K12" s="249"/>
      <c r="L12" s="42" t="s">
        <v>98</v>
      </c>
      <c r="N12" s="42" t="s">
        <v>96</v>
      </c>
      <c r="O12" s="247" t="s">
        <v>97</v>
      </c>
      <c r="P12" s="248"/>
      <c r="Q12" s="249"/>
      <c r="R12" s="42" t="s">
        <v>98</v>
      </c>
    </row>
    <row r="13" spans="2:18" ht="12.75">
      <c r="B13" s="250" t="s">
        <v>38</v>
      </c>
      <c r="C13" s="43">
        <v>1</v>
      </c>
      <c r="D13" s="44" t="s">
        <v>75</v>
      </c>
      <c r="E13" s="45">
        <v>3300000</v>
      </c>
      <c r="F13" s="42" t="s">
        <v>99</v>
      </c>
      <c r="H13" s="250" t="s">
        <v>38</v>
      </c>
      <c r="I13" s="43">
        <v>1</v>
      </c>
      <c r="J13" s="44" t="s">
        <v>75</v>
      </c>
      <c r="K13" s="45">
        <v>3300000</v>
      </c>
      <c r="L13" s="42" t="s">
        <v>100</v>
      </c>
      <c r="N13" s="250" t="s">
        <v>38</v>
      </c>
      <c r="O13" s="43">
        <v>1</v>
      </c>
      <c r="P13" s="44" t="s">
        <v>75</v>
      </c>
      <c r="Q13" s="45">
        <v>3300000</v>
      </c>
      <c r="R13" s="42" t="s">
        <v>101</v>
      </c>
    </row>
    <row r="14" spans="2:18" ht="12.75">
      <c r="B14" s="251"/>
      <c r="C14" s="43">
        <v>3300001</v>
      </c>
      <c r="D14" s="44" t="s">
        <v>75</v>
      </c>
      <c r="E14" s="45">
        <v>4100000</v>
      </c>
      <c r="F14" s="42" t="s">
        <v>103</v>
      </c>
      <c r="H14" s="251"/>
      <c r="I14" s="43">
        <v>3300001</v>
      </c>
      <c r="J14" s="44" t="s">
        <v>75</v>
      </c>
      <c r="K14" s="45">
        <v>4100000</v>
      </c>
      <c r="L14" s="42" t="s">
        <v>105</v>
      </c>
      <c r="N14" s="251"/>
      <c r="O14" s="43">
        <v>3300001</v>
      </c>
      <c r="P14" s="44" t="s">
        <v>75</v>
      </c>
      <c r="Q14" s="45">
        <v>4100000</v>
      </c>
      <c r="R14" s="42" t="s">
        <v>107</v>
      </c>
    </row>
    <row r="15" spans="2:18" ht="12.75">
      <c r="B15" s="251"/>
      <c r="C15" s="43">
        <v>4100001</v>
      </c>
      <c r="D15" s="44" t="s">
        <v>75</v>
      </c>
      <c r="E15" s="45">
        <v>7700000</v>
      </c>
      <c r="F15" s="42" t="s">
        <v>108</v>
      </c>
      <c r="H15" s="251"/>
      <c r="I15" s="43">
        <v>4100001</v>
      </c>
      <c r="J15" s="44" t="s">
        <v>75</v>
      </c>
      <c r="K15" s="45">
        <v>7700000</v>
      </c>
      <c r="L15" s="42" t="s">
        <v>110</v>
      </c>
      <c r="N15" s="251"/>
      <c r="O15" s="43">
        <v>4100001</v>
      </c>
      <c r="P15" s="44" t="s">
        <v>75</v>
      </c>
      <c r="Q15" s="45">
        <v>7700000</v>
      </c>
      <c r="R15" s="42" t="s">
        <v>111</v>
      </c>
    </row>
    <row r="16" spans="2:18" ht="12.75">
      <c r="B16" s="251"/>
      <c r="C16" s="43">
        <v>7700001</v>
      </c>
      <c r="D16" s="44" t="s">
        <v>75</v>
      </c>
      <c r="E16" s="45">
        <v>10000000</v>
      </c>
      <c r="F16" s="42" t="s">
        <v>112</v>
      </c>
      <c r="H16" s="251"/>
      <c r="I16" s="43">
        <v>7700001</v>
      </c>
      <c r="J16" s="44" t="s">
        <v>75</v>
      </c>
      <c r="K16" s="45">
        <v>10000000</v>
      </c>
      <c r="L16" s="42" t="s">
        <v>114</v>
      </c>
      <c r="N16" s="251"/>
      <c r="O16" s="43">
        <v>7700001</v>
      </c>
      <c r="P16" s="44" t="s">
        <v>75</v>
      </c>
      <c r="Q16" s="45">
        <v>10000000</v>
      </c>
      <c r="R16" s="42" t="s">
        <v>115</v>
      </c>
    </row>
    <row r="17" spans="2:18" ht="12.75">
      <c r="B17" s="252"/>
      <c r="C17" s="43">
        <v>10000001</v>
      </c>
      <c r="D17" s="44" t="s">
        <v>75</v>
      </c>
      <c r="E17" s="45"/>
      <c r="F17" s="42" t="s">
        <v>116</v>
      </c>
      <c r="H17" s="252"/>
      <c r="I17" s="43">
        <v>10000001</v>
      </c>
      <c r="J17" s="44" t="s">
        <v>75</v>
      </c>
      <c r="K17" s="45"/>
      <c r="L17" s="42" t="s">
        <v>118</v>
      </c>
      <c r="N17" s="252"/>
      <c r="O17" s="43">
        <v>10000001</v>
      </c>
      <c r="P17" s="44" t="s">
        <v>75</v>
      </c>
      <c r="Q17" s="45"/>
      <c r="R17" s="42" t="s">
        <v>120</v>
      </c>
    </row>
    <row r="18" spans="2:18" ht="12.75">
      <c r="B18" s="253" t="s">
        <v>92</v>
      </c>
      <c r="C18" s="43">
        <v>1</v>
      </c>
      <c r="D18" s="44" t="s">
        <v>75</v>
      </c>
      <c r="E18" s="45">
        <v>1300000</v>
      </c>
      <c r="F18" s="42" t="s">
        <v>121</v>
      </c>
      <c r="H18" s="253" t="s">
        <v>92</v>
      </c>
      <c r="I18" s="43">
        <v>1</v>
      </c>
      <c r="J18" s="44" t="s">
        <v>75</v>
      </c>
      <c r="K18" s="45">
        <v>1300000</v>
      </c>
      <c r="L18" s="42" t="s">
        <v>123</v>
      </c>
      <c r="N18" s="253" t="s">
        <v>92</v>
      </c>
      <c r="O18" s="43">
        <v>1</v>
      </c>
      <c r="P18" s="44" t="s">
        <v>75</v>
      </c>
      <c r="Q18" s="45">
        <v>1300000</v>
      </c>
      <c r="R18" s="42" t="s">
        <v>124</v>
      </c>
    </row>
    <row r="19" spans="2:18" ht="12.75">
      <c r="B19" s="254"/>
      <c r="C19" s="43">
        <v>1300001</v>
      </c>
      <c r="D19" s="44" t="s">
        <v>75</v>
      </c>
      <c r="E19" s="45">
        <v>4100000</v>
      </c>
      <c r="F19" s="42" t="s">
        <v>103</v>
      </c>
      <c r="H19" s="254"/>
      <c r="I19" s="43">
        <v>1300001</v>
      </c>
      <c r="J19" s="44" t="s">
        <v>75</v>
      </c>
      <c r="K19" s="45">
        <v>4100000</v>
      </c>
      <c r="L19" s="42" t="s">
        <v>105</v>
      </c>
      <c r="N19" s="254"/>
      <c r="O19" s="43">
        <v>1300001</v>
      </c>
      <c r="P19" s="44" t="s">
        <v>75</v>
      </c>
      <c r="Q19" s="45">
        <v>4100000</v>
      </c>
      <c r="R19" s="42" t="s">
        <v>107</v>
      </c>
    </row>
    <row r="20" spans="2:18" ht="12.75">
      <c r="B20" s="254"/>
      <c r="C20" s="43">
        <v>4100001</v>
      </c>
      <c r="D20" s="44" t="s">
        <v>60</v>
      </c>
      <c r="E20" s="45">
        <v>7700000</v>
      </c>
      <c r="F20" s="42" t="s">
        <v>108</v>
      </c>
      <c r="H20" s="254"/>
      <c r="I20" s="43">
        <v>4100001</v>
      </c>
      <c r="J20" s="44" t="s">
        <v>60</v>
      </c>
      <c r="K20" s="45">
        <v>7700000</v>
      </c>
      <c r="L20" s="42" t="s">
        <v>110</v>
      </c>
      <c r="N20" s="254"/>
      <c r="O20" s="43">
        <v>4100001</v>
      </c>
      <c r="P20" s="44" t="s">
        <v>60</v>
      </c>
      <c r="Q20" s="45">
        <v>7700000</v>
      </c>
      <c r="R20" s="42" t="s">
        <v>111</v>
      </c>
    </row>
    <row r="21" spans="2:18" ht="12.75">
      <c r="B21" s="254"/>
      <c r="C21" s="43">
        <v>7700001</v>
      </c>
      <c r="D21" s="44" t="s">
        <v>60</v>
      </c>
      <c r="E21" s="45">
        <v>10000000</v>
      </c>
      <c r="F21" s="42" t="s">
        <v>112</v>
      </c>
      <c r="H21" s="254"/>
      <c r="I21" s="43">
        <v>7700001</v>
      </c>
      <c r="J21" s="44" t="s">
        <v>60</v>
      </c>
      <c r="K21" s="45">
        <v>10000000</v>
      </c>
      <c r="L21" s="42" t="s">
        <v>114</v>
      </c>
      <c r="N21" s="254"/>
      <c r="O21" s="43">
        <v>7700001</v>
      </c>
      <c r="P21" s="44" t="s">
        <v>60</v>
      </c>
      <c r="Q21" s="45">
        <v>10000000</v>
      </c>
      <c r="R21" s="42" t="s">
        <v>115</v>
      </c>
    </row>
    <row r="22" spans="2:18" ht="12.75">
      <c r="B22" s="255"/>
      <c r="C22" s="43">
        <v>10000001</v>
      </c>
      <c r="D22" s="44" t="s">
        <v>75</v>
      </c>
      <c r="E22" s="45"/>
      <c r="F22" s="42" t="s">
        <v>116</v>
      </c>
      <c r="H22" s="255"/>
      <c r="I22" s="43">
        <v>10000001</v>
      </c>
      <c r="J22" s="44" t="s">
        <v>75</v>
      </c>
      <c r="K22" s="45"/>
      <c r="L22" s="42" t="s">
        <v>118</v>
      </c>
      <c r="N22" s="255"/>
      <c r="O22" s="43">
        <v>10000001</v>
      </c>
      <c r="P22" s="44" t="s">
        <v>75</v>
      </c>
      <c r="Q22" s="45"/>
      <c r="R22" s="42" t="s">
        <v>120</v>
      </c>
    </row>
    <row r="24" ht="12.75">
      <c r="B24" t="s">
        <v>134</v>
      </c>
    </row>
    <row r="25" ht="12.75">
      <c r="B25" t="s">
        <v>135</v>
      </c>
    </row>
    <row r="26" ht="12.75">
      <c r="B26" t="s">
        <v>136</v>
      </c>
    </row>
    <row r="28" ht="12.75">
      <c r="B28" t="s">
        <v>137</v>
      </c>
    </row>
    <row r="30" spans="3:8" ht="12.75">
      <c r="C30" t="str">
        <f>J6</f>
        <v>1,000万円以下</v>
      </c>
      <c r="F30" t="str">
        <f>J7</f>
        <v>1,000万円超2,000万円以下</v>
      </c>
      <c r="H30" t="str">
        <f>J8</f>
        <v>2,000万円超</v>
      </c>
    </row>
    <row r="31" spans="2:8" ht="12.75">
      <c r="B31" t="s">
        <v>38</v>
      </c>
      <c r="C31" t="e">
        <f>IF(AND($F$6=$H$6,$F$7=$J$6,$F$5&gt;=C13,$F$5&lt;=E13),1100000,0)</f>
        <v>#N/A</v>
      </c>
      <c r="F31" t="e">
        <f>IF(AND($F$6=$H$6,$F$7=$J$7,$F$5&gt;=I13,$F$5&lt;=K13),1000000,0)</f>
        <v>#N/A</v>
      </c>
      <c r="H31" t="e">
        <f>IF(AND($F$6=$H$6,$F$7=$J$8,$F$5&gt;=O13,$F$5&lt;=Q13),900000,0)</f>
        <v>#N/A</v>
      </c>
    </row>
    <row r="32" spans="3:8" ht="12.75">
      <c r="C32" t="e">
        <f>IF(AND($F$6=$H$6,$F$7=$J$6,$F$5&gt;=C14,$F$5&lt;=E14),ROUNDUP($F$5*0.25+275000,0),0)</f>
        <v>#N/A</v>
      </c>
      <c r="F32" t="e">
        <f>IF(AND($F$6=$H$6,$F$7=$J$7,$F$5&gt;=I14,$F$5&lt;=K14),ROUNDUP($F$5*0.25+175000,0),0)</f>
        <v>#N/A</v>
      </c>
      <c r="H32" t="e">
        <f>IF(AND($F$6=$H$6,$F$7=$J$8,$F$5&gt;=O14,$F$5&lt;=Q14),ROUNDUP($F$5*0.25+75000,0),0)</f>
        <v>#N/A</v>
      </c>
    </row>
    <row r="33" spans="3:8" ht="12.75">
      <c r="C33" t="e">
        <f>IF(AND($F$6=$H$6,$F$7=$J$6,$F$5&gt;=C15,$F$5&lt;=E15),ROUNDUP($F$5*0.15+685000,0),0)</f>
        <v>#N/A</v>
      </c>
      <c r="F33" t="e">
        <f>IF(AND($F$6=$H$6,$F$7=$J$7,$F$5&gt;=I15,$F$5&lt;=K15),ROUNDUP($F$5*0.15+585000,0),0)</f>
        <v>#N/A</v>
      </c>
      <c r="H33" t="e">
        <f>IF(AND($F$6=$H$6,$F$7=$J$8,$F$5&gt;=O15,$F$5&lt;=Q15),ROUNDUP($F$5*0.15+485000,0),0)</f>
        <v>#N/A</v>
      </c>
    </row>
    <row r="34" spans="3:8" ht="12.75">
      <c r="C34" t="e">
        <f>IF(AND($F$6=$H$6,$F$7=$J$6,$F$5&gt;=C16,$F$5&lt;=E16),ROUNDUP($F$5*0.05+1455000,0),0)</f>
        <v>#N/A</v>
      </c>
      <c r="F34" t="e">
        <f>IF(AND($F$6=$H$6,$F$7=$J$7,$F$5&gt;=I16,$F$5&lt;=K16),ROUNDUP($F$5*0.05+1355000,0),0)</f>
        <v>#N/A</v>
      </c>
      <c r="H34" t="e">
        <f>IF(AND($F$6=$H$6,$F$7=$J$8,$F$5&gt;=O16,$F$5&lt;=Q16),ROUNDUP($F$5*0.05+1255000,0),0)</f>
        <v>#N/A</v>
      </c>
    </row>
    <row r="35" spans="3:8" ht="12.75">
      <c r="C35" t="e">
        <f>IF(AND($F$6=$H$6,$F$7=$J$6,$F$5&gt;=C17),1955000,0)</f>
        <v>#N/A</v>
      </c>
      <c r="F35" t="e">
        <f>IF(AND($F$6=$H$6,$F$7=$J$7,$F$5&gt;=I17),1855000,0)</f>
        <v>#N/A</v>
      </c>
      <c r="H35" t="e">
        <f>IF(AND($F$6=$H$6,$F$7=$J$8,$F$5&gt;=O17),1755000,0)</f>
        <v>#N/A</v>
      </c>
    </row>
    <row r="36" spans="2:8" ht="12.75">
      <c r="B36" t="s">
        <v>92</v>
      </c>
      <c r="C36" t="e">
        <f>IF(AND($F$6=$H$7,$F$7=$J$6,$F$5&gt;=C18,$F$5&lt;=E18),600000,0)</f>
        <v>#N/A</v>
      </c>
      <c r="F36" t="e">
        <f>IF(AND($F$6=$H$7,$F$7=$J$7,$F$5&gt;=I18,$F$5&lt;=K18),500000,0)</f>
        <v>#N/A</v>
      </c>
      <c r="H36" t="e">
        <f>IF(AND($F$6=$H$7,$F$7=$J$8,$F$5&gt;=O18,$F$5&lt;=Q18),400000,0)</f>
        <v>#N/A</v>
      </c>
    </row>
    <row r="37" spans="3:8" ht="12.75">
      <c r="C37" t="e">
        <f>IF(AND($F$6=$H$7,$F$7=$J$6,$F$5&gt;=C19,$F$5&lt;=E19),ROUNDUP($F$5*0.25+275000,0),0)</f>
        <v>#N/A</v>
      </c>
      <c r="F37" t="e">
        <f>IF(AND($F$6=$H$7,$F$7=$J$7,$F$5&gt;=I19,$F$5&lt;=K19),ROUNDUP($F$5*0.25+175000,0),0)</f>
        <v>#N/A</v>
      </c>
      <c r="H37" t="e">
        <f>IF(AND($F$6=$H$7,$F$7=$J$8,$F$5&gt;=O19,$F$5&lt;=Q19),ROUNDUP($F$5*0.25+75000,0),0)</f>
        <v>#N/A</v>
      </c>
    </row>
    <row r="38" spans="3:8" ht="12.75">
      <c r="C38" t="e">
        <f>IF(AND($F$6=$H$7,$F$7=$J$6,$F$5&gt;=C20,$F$5&lt;=E20),ROUNDUP($F$5*0.15+685000,0),0)</f>
        <v>#N/A</v>
      </c>
      <c r="F38" t="e">
        <f>IF(AND($F$6=$H$7,$F$7=$J$7,$F$5&gt;=I20,$F$5&lt;=K20),ROUNDUP($F$5*0.15+585000,0),0)</f>
        <v>#N/A</v>
      </c>
      <c r="H38" t="e">
        <f>IF(AND($F$6=$H$7,$F$7=$J$8,$F$5&gt;=O20,$F$5&lt;=Q20),ROUNDUP($F$5*0.15+485000,0),0)</f>
        <v>#N/A</v>
      </c>
    </row>
    <row r="39" spans="3:8" ht="12.75">
      <c r="C39" t="e">
        <f>IF(AND($F$6=$H$7,$F$7=$J$6,$F$5&gt;=C21,$F$5&lt;=E21),ROUNDUP($F$5*0.05+1455000,0),0)</f>
        <v>#N/A</v>
      </c>
      <c r="F39" t="e">
        <f>IF(AND($F$6=$H$7,$F$7=$J$7,$F$5&gt;=I21,$F$5&lt;=K21),ROUNDUP($F$5*0.05+1355000,0),0)</f>
        <v>#N/A</v>
      </c>
      <c r="H39" t="e">
        <f>IF(AND($F$6=$H$7,$F$7=$J$8,$F$5&gt;=O21,$F$5&lt;=Q21),ROUNDUP($F$5*0.05+1255000,0),0)</f>
        <v>#N/A</v>
      </c>
    </row>
    <row r="40" spans="3:8" ht="12.75">
      <c r="C40" t="e">
        <f>IF(AND($F$6=$H$7,$F$7=$J$6,$F$5&gt;=C22),1955000,0)</f>
        <v>#N/A</v>
      </c>
      <c r="F40" t="e">
        <f>IF(AND($F$6=$H$7,$F$7=$J$7,$F$5&gt;=I22),1855000,0)</f>
        <v>#N/A</v>
      </c>
      <c r="H40" t="e">
        <f>IF(AND($F$6=$H$7,$F$7=$J$8,$F$5&gt;=O22),1755000,0)</f>
        <v>#N/A</v>
      </c>
    </row>
    <row r="42" spans="2:10" ht="12.75">
      <c r="B42" t="s">
        <v>138</v>
      </c>
      <c r="C42" t="e">
        <f>SUM(C31:C41)</f>
        <v>#N/A</v>
      </c>
      <c r="F42" t="e">
        <f>SUM(F31:F41)</f>
        <v>#N/A</v>
      </c>
      <c r="H42" t="e">
        <f>SUM(H31:H41)</f>
        <v>#N/A</v>
      </c>
      <c r="J42" t="e">
        <f>SUM(C42:H42)</f>
        <v>#N/A</v>
      </c>
    </row>
    <row r="43" spans="2:6" ht="39">
      <c r="B43" s="46" t="s">
        <v>139</v>
      </c>
      <c r="C43" t="e">
        <f>MAX($F$5-J42,0)</f>
        <v>#N/A</v>
      </c>
      <c r="E43">
        <v>100000</v>
      </c>
      <c r="F43" t="s">
        <v>84</v>
      </c>
    </row>
    <row r="47" ht="12.75">
      <c r="A47" t="s">
        <v>140</v>
      </c>
    </row>
    <row r="49" spans="2:3" ht="12.75">
      <c r="B49" s="83" t="e">
        <f>'加入者(6)'!F19+'加入者(6)'!F20-100000</f>
        <v>#N/A</v>
      </c>
      <c r="C49" t="s">
        <v>0</v>
      </c>
    </row>
    <row r="51" spans="2:8" ht="12.75">
      <c r="B51" t="s">
        <v>148</v>
      </c>
      <c r="C51" t="s">
        <v>149</v>
      </c>
      <c r="E51" t="s">
        <v>141</v>
      </c>
      <c r="F51" t="s">
        <v>4</v>
      </c>
      <c r="G51" t="s">
        <v>158</v>
      </c>
      <c r="H51" t="s">
        <v>159</v>
      </c>
    </row>
    <row r="52" spans="2:9" ht="12.75">
      <c r="B52" t="s">
        <v>26</v>
      </c>
      <c r="C52" t="s">
        <v>92</v>
      </c>
      <c r="E52" s="85">
        <f>'計算シート16'!J10</f>
        <v>0</v>
      </c>
      <c r="F52" s="86">
        <f>'HP用'!G23</f>
        <v>0</v>
      </c>
      <c r="G52" s="35">
        <f>E52+F52</f>
        <v>0</v>
      </c>
      <c r="H52">
        <v>10000000</v>
      </c>
      <c r="I52" t="s">
        <v>40</v>
      </c>
    </row>
    <row r="53" spans="2:9" ht="12.75">
      <c r="B53" t="s">
        <v>146</v>
      </c>
      <c r="C53" t="s">
        <v>92</v>
      </c>
      <c r="H53">
        <v>10000001</v>
      </c>
      <c r="I53" t="s">
        <v>93</v>
      </c>
    </row>
    <row r="54" spans="2:9" ht="12.75">
      <c r="B54" t="s">
        <v>25</v>
      </c>
      <c r="C54" t="s">
        <v>38</v>
      </c>
      <c r="H54">
        <v>20000001</v>
      </c>
      <c r="I54" t="s">
        <v>94</v>
      </c>
    </row>
  </sheetData>
  <sheetProtection/>
  <mergeCells count="9">
    <mergeCell ref="O12:Q12"/>
    <mergeCell ref="B13:B17"/>
    <mergeCell ref="H13:H17"/>
    <mergeCell ref="N13:N17"/>
    <mergeCell ref="B18:B22"/>
    <mergeCell ref="H18:H22"/>
    <mergeCell ref="N18:N22"/>
    <mergeCell ref="C12:E12"/>
    <mergeCell ref="I12:K12"/>
  </mergeCells>
  <printOptions/>
  <pageMargins left="0.7" right="0.7" top="0.75" bottom="0.75" header="0.3" footer="0.3"/>
  <pageSetup horizontalDpi="600" verticalDpi="600" orientation="portrait" paperSize="9" scale="39" r:id="rId1"/>
</worksheet>
</file>

<file path=xl/worksheets/sheet21.xml><?xml version="1.0" encoding="utf-8"?>
<worksheet xmlns="http://schemas.openxmlformats.org/spreadsheetml/2006/main" xmlns:r="http://schemas.openxmlformats.org/officeDocument/2006/relationships">
  <sheetPr codeName="Sheet22">
    <tabColor rgb="FFFFFF00"/>
  </sheetPr>
  <dimension ref="A1:G26"/>
  <sheetViews>
    <sheetView view="pageBreakPreview" zoomScaleSheetLayoutView="100" zoomScalePageLayoutView="0" workbookViewId="0" topLeftCell="A22">
      <selection activeCell="F9" sqref="F9:G9"/>
    </sheetView>
  </sheetViews>
  <sheetFormatPr defaultColWidth="9.140625" defaultRowHeight="15"/>
  <cols>
    <col min="1" max="1" width="3.7109375" style="0" customWidth="1"/>
    <col min="3" max="3" width="11.8515625" style="0" customWidth="1"/>
    <col min="4" max="4" width="11.28125" style="0" customWidth="1"/>
    <col min="5" max="5" width="14.8515625" style="0" customWidth="1"/>
    <col min="6" max="6" width="31.140625" style="0" customWidth="1"/>
    <col min="7" max="7" width="7.140625" style="0" customWidth="1"/>
  </cols>
  <sheetData>
    <row r="1" spans="1:7" ht="29.25" customHeight="1">
      <c r="A1" s="47" t="s">
        <v>34</v>
      </c>
      <c r="B1" s="48"/>
      <c r="C1" s="48"/>
      <c r="D1" s="48"/>
      <c r="E1" s="48"/>
      <c r="F1" s="48"/>
      <c r="G1" s="48"/>
    </row>
    <row r="2" spans="1:7" ht="4.5" customHeight="1">
      <c r="A2" s="47"/>
      <c r="B2" s="48"/>
      <c r="C2" s="48"/>
      <c r="D2" s="48"/>
      <c r="E2" s="48"/>
      <c r="F2" s="48"/>
      <c r="G2" s="48"/>
    </row>
    <row r="3" spans="1:7" ht="21" customHeight="1">
      <c r="A3" s="48"/>
      <c r="B3" s="48" t="s">
        <v>154</v>
      </c>
      <c r="C3" s="48"/>
      <c r="D3" s="48"/>
      <c r="E3" s="240" t="s">
        <v>155</v>
      </c>
      <c r="F3" s="240"/>
      <c r="G3" s="48"/>
    </row>
    <row r="4" spans="1:7" ht="21" customHeight="1">
      <c r="A4" s="48"/>
      <c r="B4" s="48" t="s">
        <v>153</v>
      </c>
      <c r="C4" s="48"/>
      <c r="D4" s="48"/>
      <c r="E4" s="49"/>
      <c r="F4" s="48"/>
      <c r="G4" s="48"/>
    </row>
    <row r="5" spans="1:7" ht="19.5" customHeight="1">
      <c r="A5" s="50" t="s">
        <v>157</v>
      </c>
      <c r="B5" s="48"/>
      <c r="C5" s="48"/>
      <c r="D5" s="48"/>
      <c r="E5" s="48"/>
      <c r="F5" s="48"/>
      <c r="G5" s="48"/>
    </row>
    <row r="6" spans="1:7" ht="28.5" customHeight="1">
      <c r="A6" s="48"/>
      <c r="B6" s="51" t="s">
        <v>35</v>
      </c>
      <c r="C6" s="52"/>
      <c r="D6" s="52"/>
      <c r="E6" s="52"/>
      <c r="F6" s="53">
        <f>'HP用'!E24</f>
        <v>0</v>
      </c>
      <c r="G6" s="54" t="s">
        <v>0</v>
      </c>
    </row>
    <row r="7" spans="1:7" ht="28.5" customHeight="1">
      <c r="A7" s="48"/>
      <c r="B7" s="51" t="s">
        <v>36</v>
      </c>
      <c r="C7" s="52"/>
      <c r="D7" s="52"/>
      <c r="E7" s="52"/>
      <c r="F7" s="53">
        <f>'HP用'!F24</f>
        <v>0</v>
      </c>
      <c r="G7" s="54" t="s">
        <v>0</v>
      </c>
    </row>
    <row r="8" spans="1:7" ht="28.5" customHeight="1">
      <c r="A8" s="48"/>
      <c r="B8" s="55" t="s">
        <v>37</v>
      </c>
      <c r="C8" s="56"/>
      <c r="D8" s="56"/>
      <c r="E8" s="56"/>
      <c r="F8" s="241" t="e">
        <f>VLOOKUP('HP用'!D24,'計算シート27'!$B$52:$C$54,2,1)</f>
        <v>#N/A</v>
      </c>
      <c r="G8" s="242"/>
    </row>
    <row r="9" spans="1:7" ht="28.5" customHeight="1">
      <c r="A9" s="48"/>
      <c r="B9" s="243" t="s">
        <v>39</v>
      </c>
      <c r="C9" s="243"/>
      <c r="D9" s="243"/>
      <c r="E9" s="243"/>
      <c r="F9" s="244" t="str">
        <f>_xlfn.IFERROR(VLOOKUP('計算シート27'!G52,'計算シート27'!$H$52:$I$54,2,1),"1,000万円以下")</f>
        <v>1,000万円以下</v>
      </c>
      <c r="G9" s="244"/>
    </row>
    <row r="10" spans="1:7" ht="4.5" customHeight="1">
      <c r="A10" s="48"/>
      <c r="B10" s="48"/>
      <c r="C10" s="48"/>
      <c r="D10" s="48"/>
      <c r="E10" s="48"/>
      <c r="F10" s="48"/>
      <c r="G10" s="48"/>
    </row>
    <row r="11" spans="1:7" ht="19.5" customHeight="1">
      <c r="A11" s="50"/>
      <c r="B11" s="57" t="s">
        <v>41</v>
      </c>
      <c r="C11" s="48"/>
      <c r="D11" s="48"/>
      <c r="E11" s="48"/>
      <c r="F11" s="48"/>
      <c r="G11" s="48"/>
    </row>
    <row r="12" spans="1:7" ht="19.5" customHeight="1">
      <c r="A12" s="50"/>
      <c r="B12" s="57"/>
      <c r="C12" s="48"/>
      <c r="D12" s="48"/>
      <c r="E12" s="48"/>
      <c r="F12" s="48"/>
      <c r="G12" s="48"/>
    </row>
    <row r="13" spans="1:7" ht="19.5" customHeight="1">
      <c r="A13" s="50" t="s">
        <v>156</v>
      </c>
      <c r="B13" s="57"/>
      <c r="C13" s="48"/>
      <c r="D13" s="48"/>
      <c r="E13" s="48"/>
      <c r="F13" s="48"/>
      <c r="G13" s="48"/>
    </row>
    <row r="14" spans="1:7" ht="90" customHeight="1">
      <c r="A14" s="50"/>
      <c r="B14" s="235" t="s">
        <v>142</v>
      </c>
      <c r="C14" s="236"/>
      <c r="D14" s="236"/>
      <c r="E14" s="237"/>
      <c r="F14" s="238">
        <f>_xlfn.IFERROR('HP用'!C24,"非該当")</f>
        <v>0</v>
      </c>
      <c r="G14" s="239"/>
    </row>
    <row r="15" spans="1:7" ht="28.5" customHeight="1">
      <c r="A15" s="50"/>
      <c r="B15" s="232" t="s">
        <v>42</v>
      </c>
      <c r="C15" s="233"/>
      <c r="D15" s="233"/>
      <c r="E15" s="234"/>
      <c r="F15" s="58" t="str">
        <f>'計算シート17'!I12</f>
        <v>0</v>
      </c>
      <c r="G15" s="59" t="s">
        <v>0</v>
      </c>
    </row>
    <row r="16" spans="1:7" ht="19.5" customHeight="1">
      <c r="A16" s="48"/>
      <c r="B16" s="48"/>
      <c r="C16" s="48"/>
      <c r="D16" s="48"/>
      <c r="E16" s="48"/>
      <c r="F16" s="48"/>
      <c r="G16" s="48"/>
    </row>
    <row r="17" spans="1:7" ht="19.5" customHeight="1">
      <c r="A17" s="50" t="s">
        <v>43</v>
      </c>
      <c r="B17" s="48"/>
      <c r="C17" s="48"/>
      <c r="D17" s="48"/>
      <c r="E17" s="48"/>
      <c r="F17" s="48"/>
      <c r="G17" s="48"/>
    </row>
    <row r="18" spans="1:7" ht="10.5" customHeight="1">
      <c r="A18" s="48"/>
      <c r="B18" s="48"/>
      <c r="C18" s="48"/>
      <c r="D18" s="48"/>
      <c r="E18" s="48"/>
      <c r="F18" s="48"/>
      <c r="G18" s="48"/>
    </row>
    <row r="19" spans="1:7" ht="28.5" customHeight="1">
      <c r="A19" s="48"/>
      <c r="B19" s="51" t="s">
        <v>44</v>
      </c>
      <c r="C19" s="52"/>
      <c r="D19" s="52"/>
      <c r="E19" s="52"/>
      <c r="F19" s="60">
        <f>IF('計算シート17'!C34&lt;=100000,'計算シート17'!C34,'計算シート17'!E34)</f>
        <v>0</v>
      </c>
      <c r="G19" s="54" t="s">
        <v>0</v>
      </c>
    </row>
    <row r="20" spans="1:7" ht="28.5" customHeight="1" thickBot="1">
      <c r="A20" s="48"/>
      <c r="B20" s="51" t="s">
        <v>45</v>
      </c>
      <c r="C20" s="52"/>
      <c r="D20" s="52"/>
      <c r="E20" s="52"/>
      <c r="F20" s="60" t="e">
        <f>IF('計算シート27'!C43&lt;=100000,'計算シート27'!C43,'計算シート27'!E43)</f>
        <v>#N/A</v>
      </c>
      <c r="G20" s="54" t="s">
        <v>0</v>
      </c>
    </row>
    <row r="21" spans="1:7" ht="28.5" customHeight="1" thickTop="1">
      <c r="A21" s="48"/>
      <c r="B21" s="61" t="s">
        <v>46</v>
      </c>
      <c r="C21" s="62"/>
      <c r="D21" s="62"/>
      <c r="E21" s="62"/>
      <c r="F21" s="63" t="e">
        <f>IF('計算シート27'!B49&gt;=0,'計算シート27'!B49,0)</f>
        <v>#N/A</v>
      </c>
      <c r="G21" s="64" t="s">
        <v>0</v>
      </c>
    </row>
    <row r="22" spans="1:7" ht="12.75">
      <c r="A22" s="48"/>
      <c r="B22" s="48"/>
      <c r="C22" s="48"/>
      <c r="D22" s="48"/>
      <c r="E22" s="48"/>
      <c r="F22" s="48"/>
      <c r="G22" s="48"/>
    </row>
    <row r="23" spans="1:7" ht="19.5" customHeight="1">
      <c r="A23" s="50" t="s">
        <v>47</v>
      </c>
      <c r="B23" s="48"/>
      <c r="C23" s="48"/>
      <c r="D23" s="48"/>
      <c r="E23" s="48"/>
      <c r="F23" s="48"/>
      <c r="G23" s="48"/>
    </row>
    <row r="24" spans="1:7" ht="28.5" customHeight="1">
      <c r="A24" s="48"/>
      <c r="B24" s="55" t="s">
        <v>48</v>
      </c>
      <c r="C24" s="56"/>
      <c r="D24" s="56"/>
      <c r="E24" s="65"/>
      <c r="F24" s="80" t="str">
        <f>_xlfn.IFERROR('計算シート17'!C34-('加入者(7)'!F15+'加入者(7)'!F21),"0")</f>
        <v>0</v>
      </c>
      <c r="G24" s="65" t="s">
        <v>0</v>
      </c>
    </row>
    <row r="25" spans="1:7" ht="28.5" customHeight="1" thickBot="1">
      <c r="A25" s="48"/>
      <c r="B25" s="66" t="s">
        <v>49</v>
      </c>
      <c r="C25" s="67"/>
      <c r="D25" s="67"/>
      <c r="E25" s="68"/>
      <c r="F25" s="79" t="str">
        <f>_xlfn.IFERROR('計算シート27'!C43,"0")</f>
        <v>0</v>
      </c>
      <c r="G25" s="68" t="s">
        <v>0</v>
      </c>
    </row>
    <row r="26" spans="1:7" ht="28.5" customHeight="1" thickTop="1">
      <c r="A26" s="48"/>
      <c r="B26" s="69" t="s">
        <v>50</v>
      </c>
      <c r="C26" s="70"/>
      <c r="D26" s="70"/>
      <c r="E26" s="71"/>
      <c r="F26" s="72">
        <f>F24+F25</f>
        <v>0</v>
      </c>
      <c r="G26" s="71" t="s">
        <v>0</v>
      </c>
    </row>
  </sheetData>
  <sheetProtection/>
  <mergeCells count="7">
    <mergeCell ref="B15:E15"/>
    <mergeCell ref="E3:F3"/>
    <mergeCell ref="F8:G8"/>
    <mergeCell ref="B9:E9"/>
    <mergeCell ref="F9:G9"/>
    <mergeCell ref="B14:E14"/>
    <mergeCell ref="F14:G14"/>
  </mergeCells>
  <dataValidations count="1">
    <dataValidation allowBlank="1" showInputMessage="1" showErrorMessage="1" promptTitle="公的年金等の収入を入力した方は年齢を選択してください。" prompt="※１月１日現在の年齢を選択してください。" sqref="F8:G8"/>
  </dataValidations>
  <printOptions/>
  <pageMargins left="0.7" right="0.48" top="0.73" bottom="0.47" header="0.3" footer="0.3"/>
  <pageSetup horizontalDpi="600" verticalDpi="600" orientation="portrait" paperSize="9" scale="97" r:id="rId2"/>
  <drawing r:id="rId1"/>
</worksheet>
</file>

<file path=xl/worksheets/sheet22.xml><?xml version="1.0" encoding="utf-8"?>
<worksheet xmlns="http://schemas.openxmlformats.org/spreadsheetml/2006/main" xmlns:r="http://schemas.openxmlformats.org/officeDocument/2006/relationships">
  <sheetPr codeName="Sheet20"/>
  <dimension ref="A1:L41"/>
  <sheetViews>
    <sheetView zoomScalePageLayoutView="0" workbookViewId="0" topLeftCell="A1">
      <selection activeCell="I10" sqref="I10"/>
    </sheetView>
  </sheetViews>
  <sheetFormatPr defaultColWidth="9.140625" defaultRowHeight="15"/>
  <cols>
    <col min="1" max="1" width="12.140625" style="0" customWidth="1"/>
    <col min="2" max="2" width="4.8515625" style="0" customWidth="1"/>
    <col min="3" max="3" width="14.7109375" style="0" customWidth="1"/>
    <col min="4" max="4" width="12.8515625" style="0" customWidth="1"/>
    <col min="5" max="5" width="16.28125" style="0" customWidth="1"/>
    <col min="6" max="7" width="14.7109375" style="0" customWidth="1"/>
    <col min="8" max="8" width="4.421875" style="0" customWidth="1"/>
    <col min="9" max="9" width="25.00390625" style="34" customWidth="1"/>
    <col min="10" max="10" width="25.00390625" style="0" customWidth="1"/>
    <col min="11" max="13" width="14.7109375" style="0" customWidth="1"/>
    <col min="14" max="18" width="9.00390625" style="0" customWidth="1"/>
  </cols>
  <sheetData>
    <row r="1" ht="12.75">
      <c r="A1" t="s">
        <v>51</v>
      </c>
    </row>
    <row r="3" spans="1:12" ht="12.75">
      <c r="A3" t="s">
        <v>52</v>
      </c>
      <c r="I3" s="245" t="s">
        <v>53</v>
      </c>
      <c r="J3" s="245"/>
      <c r="K3" s="245"/>
      <c r="L3" s="245"/>
    </row>
    <row r="4" spans="9:12" ht="12.75">
      <c r="I4" s="245" t="s">
        <v>54</v>
      </c>
      <c r="J4" s="245"/>
      <c r="K4" s="245"/>
      <c r="L4" s="245"/>
    </row>
    <row r="5" spans="1:12" ht="12.75">
      <c r="A5" t="s">
        <v>35</v>
      </c>
      <c r="E5" s="83">
        <f>IF('加入者(7)'!F6="","",'加入者(7)'!F6)</f>
        <v>0</v>
      </c>
      <c r="F5" t="s">
        <v>0</v>
      </c>
      <c r="I5" s="245" t="s">
        <v>55</v>
      </c>
      <c r="J5" s="245"/>
      <c r="K5" s="245"/>
      <c r="L5" s="245"/>
    </row>
    <row r="6" spans="9:12" ht="12.75">
      <c r="I6" s="245" t="s">
        <v>56</v>
      </c>
      <c r="J6" s="245"/>
      <c r="K6" s="245"/>
      <c r="L6" s="245"/>
    </row>
    <row r="7" spans="1:12" ht="12.75">
      <c r="A7" t="s">
        <v>57</v>
      </c>
      <c r="D7" t="s">
        <v>58</v>
      </c>
      <c r="I7" s="245" t="s">
        <v>59</v>
      </c>
      <c r="J7" s="245"/>
      <c r="K7" s="245"/>
      <c r="L7" s="245"/>
    </row>
    <row r="8" spans="9:10" ht="12.75">
      <c r="I8" s="34" t="s">
        <v>143</v>
      </c>
      <c r="J8" t="s">
        <v>144</v>
      </c>
    </row>
    <row r="9" spans="1:12" ht="13.5" customHeight="1">
      <c r="A9">
        <v>1</v>
      </c>
      <c r="B9" t="s">
        <v>60</v>
      </c>
      <c r="C9" s="35">
        <v>550999</v>
      </c>
      <c r="D9" t="s">
        <v>61</v>
      </c>
      <c r="I9" s="34" t="s">
        <v>62</v>
      </c>
      <c r="J9" s="246" t="s">
        <v>63</v>
      </c>
      <c r="K9" s="246"/>
      <c r="L9" s="36"/>
    </row>
    <row r="10" spans="1:12" ht="12.75">
      <c r="A10" s="35">
        <v>551000</v>
      </c>
      <c r="B10" t="s">
        <v>60</v>
      </c>
      <c r="C10" s="35">
        <v>1618999</v>
      </c>
      <c r="D10" t="s">
        <v>64</v>
      </c>
      <c r="I10" s="84" t="b">
        <f>IF('加入者(7)'!F14="該当",E5)</f>
        <v>0</v>
      </c>
      <c r="J10" s="37">
        <f>C34</f>
        <v>0</v>
      </c>
      <c r="K10" s="38"/>
      <c r="L10" s="36"/>
    </row>
    <row r="11" spans="1:12" ht="12.75">
      <c r="A11" s="35">
        <v>1619000</v>
      </c>
      <c r="B11" t="s">
        <v>60</v>
      </c>
      <c r="C11" s="35">
        <v>1619999</v>
      </c>
      <c r="D11" t="s">
        <v>65</v>
      </c>
      <c r="I11" s="34" t="s">
        <v>66</v>
      </c>
      <c r="J11" s="36"/>
      <c r="K11" s="36"/>
      <c r="L11" s="36"/>
    </row>
    <row r="12" spans="1:12" ht="12.75">
      <c r="A12" s="35">
        <v>1620000</v>
      </c>
      <c r="B12" t="s">
        <v>60</v>
      </c>
      <c r="C12" s="35">
        <v>1621999</v>
      </c>
      <c r="D12" t="s">
        <v>67</v>
      </c>
      <c r="I12" s="39" t="str">
        <f>_xlfn.IFERROR(VLOOKUP(I10,$J$20:$L$21,3,1),"0")</f>
        <v>0</v>
      </c>
      <c r="J12" s="36"/>
      <c r="K12" s="38"/>
      <c r="L12" s="36"/>
    </row>
    <row r="13" spans="1:10" ht="12.75">
      <c r="A13" s="35">
        <v>1622000</v>
      </c>
      <c r="B13" t="s">
        <v>60</v>
      </c>
      <c r="C13" s="35">
        <v>1623999</v>
      </c>
      <c r="D13" t="s">
        <v>68</v>
      </c>
      <c r="I13" s="245" t="s">
        <v>69</v>
      </c>
      <c r="J13" s="245"/>
    </row>
    <row r="14" spans="1:12" ht="12.75">
      <c r="A14" s="35">
        <v>1624000</v>
      </c>
      <c r="B14" t="s">
        <v>60</v>
      </c>
      <c r="C14" s="35">
        <v>1627999</v>
      </c>
      <c r="D14" t="s">
        <v>70</v>
      </c>
      <c r="I14" s="34">
        <f>_xlfn.IFERROR(J10-I12,"0")</f>
        <v>0</v>
      </c>
      <c r="J14" s="36"/>
      <c r="K14" s="36"/>
      <c r="L14" s="36"/>
    </row>
    <row r="15" spans="1:12" ht="12.75">
      <c r="A15" s="35">
        <v>1628000</v>
      </c>
      <c r="B15" t="s">
        <v>60</v>
      </c>
      <c r="C15" s="35">
        <v>1799999</v>
      </c>
      <c r="D15" t="s">
        <v>71</v>
      </c>
      <c r="I15" s="40"/>
      <c r="J15" s="36"/>
      <c r="K15" s="38"/>
      <c r="L15" s="38"/>
    </row>
    <row r="16" spans="1:12" ht="12.75">
      <c r="A16" s="35">
        <v>1800000</v>
      </c>
      <c r="B16" t="s">
        <v>60</v>
      </c>
      <c r="C16" s="35">
        <v>3599999</v>
      </c>
      <c r="D16" t="s">
        <v>72</v>
      </c>
      <c r="J16" s="36"/>
      <c r="K16" s="38"/>
      <c r="L16" s="38"/>
    </row>
    <row r="17" spans="1:4" ht="12.75">
      <c r="A17" s="35">
        <v>3600000</v>
      </c>
      <c r="B17" t="s">
        <v>60</v>
      </c>
      <c r="C17" s="35">
        <v>6599999</v>
      </c>
      <c r="D17" t="s">
        <v>73</v>
      </c>
    </row>
    <row r="18" spans="1:4" ht="12.75">
      <c r="A18" s="35">
        <v>6600000</v>
      </c>
      <c r="B18" t="s">
        <v>60</v>
      </c>
      <c r="C18" s="35">
        <v>8499999</v>
      </c>
      <c r="D18" t="s">
        <v>74</v>
      </c>
    </row>
    <row r="19" spans="1:12" ht="12.75">
      <c r="A19" s="35">
        <v>8500000</v>
      </c>
      <c r="B19" t="s">
        <v>75</v>
      </c>
      <c r="D19" t="s">
        <v>76</v>
      </c>
      <c r="I19" s="34" t="s">
        <v>77</v>
      </c>
      <c r="J19" s="36" t="s">
        <v>78</v>
      </c>
      <c r="K19" s="36" t="s">
        <v>79</v>
      </c>
      <c r="L19" s="36" t="s">
        <v>80</v>
      </c>
    </row>
    <row r="20" spans="9:12" ht="12.75">
      <c r="I20" s="34" t="s">
        <v>81</v>
      </c>
      <c r="J20" s="36">
        <v>8500000</v>
      </c>
      <c r="K20" s="38" t="b">
        <f>I10</f>
        <v>0</v>
      </c>
      <c r="L20" s="38">
        <f>(K20-8500000)*0.1</f>
        <v>-850000</v>
      </c>
    </row>
    <row r="21" spans="9:12" ht="12.75">
      <c r="I21" s="34" t="s">
        <v>82</v>
      </c>
      <c r="J21" s="36">
        <v>10000001</v>
      </c>
      <c r="K21" s="38" t="b">
        <f>I10</f>
        <v>0</v>
      </c>
      <c r="L21" s="38">
        <f>(10000000-8500000)*0.1</f>
        <v>150000</v>
      </c>
    </row>
    <row r="22" ht="12.75">
      <c r="C22" t="s">
        <v>83</v>
      </c>
    </row>
    <row r="23" ht="12.75">
      <c r="C23">
        <f>IF(E5&lt;=C9,0,0)</f>
        <v>0</v>
      </c>
    </row>
    <row r="24" ht="12.75">
      <c r="C24">
        <f>IF(AND($E$5&gt;=A10,$E$5&lt;=C10),$E$5-550000,0)</f>
        <v>0</v>
      </c>
    </row>
    <row r="25" ht="12.75">
      <c r="C25">
        <f>IF(AND($E$5&gt;=A11,$E$5&lt;=C11),1069000,0)</f>
        <v>0</v>
      </c>
    </row>
    <row r="26" ht="12.75">
      <c r="C26">
        <f>IF(AND($E$5&gt;=A12,$E$5&lt;=C12),1070000,0)</f>
        <v>0</v>
      </c>
    </row>
    <row r="27" ht="12.75">
      <c r="C27">
        <f>IF(AND($E$5&gt;=A13,$E$5&lt;=C13),1072000,0)</f>
        <v>0</v>
      </c>
    </row>
    <row r="28" ht="12.75">
      <c r="C28">
        <f>IF(AND($E$5&gt;=A14,$E$5&lt;=C14),1074000,0)</f>
        <v>0</v>
      </c>
    </row>
    <row r="29" ht="12.75">
      <c r="C29">
        <f>IF(AND($E$5&gt;=A15,$E$5&lt;=C15),ROUNDDOWN($E$5/4,-3)*2.4+100000,0)</f>
        <v>0</v>
      </c>
    </row>
    <row r="30" ht="12.75">
      <c r="C30">
        <f>IF(AND($E$5&gt;=A16,$E$5&lt;=C16),ROUNDDOWN($E$5/4,-3)*2.8-80000,0)</f>
        <v>0</v>
      </c>
    </row>
    <row r="31" ht="12.75">
      <c r="C31">
        <f>IF(AND($E$5&gt;=A17,$E$5&lt;=C17),ROUNDDOWN($E$5/4,-3)*3.2-440000,0)</f>
        <v>0</v>
      </c>
    </row>
    <row r="32" ht="12.75">
      <c r="C32">
        <f>IF(AND($E$5&gt;=A18,$E$5&lt;=C18),ROUNDDOWN($E$5*0.9,0)-1100000,0)</f>
        <v>0</v>
      </c>
    </row>
    <row r="33" ht="12.75">
      <c r="C33">
        <f>IF($E$5&gt;=A19,$E$5-1950000,0)</f>
        <v>0</v>
      </c>
    </row>
    <row r="34" spans="1:6" ht="12.75">
      <c r="A34" t="s">
        <v>33</v>
      </c>
      <c r="C34">
        <f>SUM(C23:C33)</f>
        <v>0</v>
      </c>
      <c r="E34">
        <v>100000</v>
      </c>
      <c r="F34" t="s">
        <v>84</v>
      </c>
    </row>
    <row r="37" ht="12.75">
      <c r="A37" t="s">
        <v>85</v>
      </c>
    </row>
    <row r="38" ht="12.75">
      <c r="A38" t="s">
        <v>86</v>
      </c>
    </row>
    <row r="39" ht="12.75">
      <c r="A39" t="s">
        <v>55</v>
      </c>
    </row>
    <row r="40" ht="12.75">
      <c r="A40" t="s">
        <v>56</v>
      </c>
    </row>
    <row r="41" ht="12.75">
      <c r="A41" t="s">
        <v>59</v>
      </c>
    </row>
  </sheetData>
  <sheetProtection/>
  <mergeCells count="7">
    <mergeCell ref="I13:J13"/>
    <mergeCell ref="I3:L3"/>
    <mergeCell ref="I4:L4"/>
    <mergeCell ref="I5:L5"/>
    <mergeCell ref="I6:L6"/>
    <mergeCell ref="I7:L7"/>
    <mergeCell ref="J9:K9"/>
  </mergeCells>
  <printOptions/>
  <pageMargins left="0.7" right="0.7" top="0.75" bottom="0.75" header="0.3" footer="0.3"/>
  <pageSetup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21"/>
  <dimension ref="A1:R54"/>
  <sheetViews>
    <sheetView zoomScalePageLayoutView="0" workbookViewId="0" topLeftCell="A37">
      <selection activeCell="F52" sqref="F52"/>
    </sheetView>
  </sheetViews>
  <sheetFormatPr defaultColWidth="9.140625" defaultRowHeight="15"/>
  <cols>
    <col min="1" max="1" width="4.00390625" style="0" customWidth="1"/>
    <col min="2" max="2" width="13.28125" style="0" customWidth="1"/>
    <col min="3" max="3" width="13.00390625" style="0" customWidth="1"/>
    <col min="4" max="4" width="3.8515625" style="0" customWidth="1"/>
    <col min="5" max="5" width="12.140625" style="0" customWidth="1"/>
    <col min="6" max="6" width="25.421875" style="0" customWidth="1"/>
    <col min="7" max="7" width="10.8515625" style="0" customWidth="1"/>
    <col min="8" max="8" width="14.421875" style="0" customWidth="1"/>
    <col min="9" max="9" width="10.8515625" style="0" customWidth="1"/>
    <col min="10" max="10" width="9.00390625" style="0" customWidth="1"/>
    <col min="11" max="11" width="10.7109375" style="0" customWidth="1"/>
    <col min="12" max="12" width="25.140625" style="0" customWidth="1"/>
    <col min="13" max="14" width="9.00390625" style="0" customWidth="1"/>
    <col min="15" max="15" width="11.140625" style="0" customWidth="1"/>
    <col min="16" max="16" width="9.00390625" style="0" customWidth="1"/>
    <col min="17" max="17" width="11.140625" style="0" customWidth="1"/>
    <col min="18" max="18" width="24.7109375" style="0" customWidth="1"/>
  </cols>
  <sheetData>
    <row r="1" ht="12.75">
      <c r="A1" t="s">
        <v>87</v>
      </c>
    </row>
    <row r="3" ht="12.75">
      <c r="A3" t="s">
        <v>88</v>
      </c>
    </row>
    <row r="5" spans="2:7" ht="12.75">
      <c r="B5" t="s">
        <v>89</v>
      </c>
      <c r="F5" s="83">
        <f>'加入者(7)'!F7</f>
        <v>0</v>
      </c>
      <c r="G5" t="s">
        <v>0</v>
      </c>
    </row>
    <row r="6" spans="2:10" ht="12.75">
      <c r="B6" t="s">
        <v>90</v>
      </c>
      <c r="F6" s="88" t="e">
        <f>'加入者(7)'!F8</f>
        <v>#N/A</v>
      </c>
      <c r="H6" t="s">
        <v>38</v>
      </c>
      <c r="J6" t="s">
        <v>40</v>
      </c>
    </row>
    <row r="7" spans="2:10" ht="12.75">
      <c r="B7" t="s">
        <v>91</v>
      </c>
      <c r="F7" s="88" t="str">
        <f>'加入者(7)'!F9</f>
        <v>1,000万円以下</v>
      </c>
      <c r="H7" t="s">
        <v>92</v>
      </c>
      <c r="J7" t="s">
        <v>93</v>
      </c>
    </row>
    <row r="8" ht="12.75">
      <c r="J8" t="s">
        <v>94</v>
      </c>
    </row>
    <row r="10" ht="12.75">
      <c r="B10" t="s">
        <v>95</v>
      </c>
    </row>
    <row r="11" spans="2:14" ht="12.75">
      <c r="B11" t="str">
        <f>J6</f>
        <v>1,000万円以下</v>
      </c>
      <c r="H11" t="str">
        <f>J7</f>
        <v>1,000万円超2,000万円以下</v>
      </c>
      <c r="N11" t="str">
        <f>J8</f>
        <v>2,000万円超</v>
      </c>
    </row>
    <row r="12" spans="2:18" ht="29.25" customHeight="1">
      <c r="B12" s="42" t="s">
        <v>96</v>
      </c>
      <c r="C12" s="247" t="s">
        <v>97</v>
      </c>
      <c r="D12" s="248"/>
      <c r="E12" s="249"/>
      <c r="F12" s="42" t="s">
        <v>98</v>
      </c>
      <c r="H12" s="42" t="s">
        <v>96</v>
      </c>
      <c r="I12" s="247" t="s">
        <v>97</v>
      </c>
      <c r="J12" s="248"/>
      <c r="K12" s="249"/>
      <c r="L12" s="42" t="s">
        <v>98</v>
      </c>
      <c r="N12" s="42" t="s">
        <v>96</v>
      </c>
      <c r="O12" s="247" t="s">
        <v>97</v>
      </c>
      <c r="P12" s="248"/>
      <c r="Q12" s="249"/>
      <c r="R12" s="42" t="s">
        <v>98</v>
      </c>
    </row>
    <row r="13" spans="2:18" ht="12.75">
      <c r="B13" s="250" t="s">
        <v>38</v>
      </c>
      <c r="C13" s="43">
        <v>1</v>
      </c>
      <c r="D13" s="44" t="s">
        <v>75</v>
      </c>
      <c r="E13" s="45">
        <v>3300000</v>
      </c>
      <c r="F13" s="42" t="s">
        <v>99</v>
      </c>
      <c r="H13" s="250" t="s">
        <v>38</v>
      </c>
      <c r="I13" s="43">
        <v>1</v>
      </c>
      <c r="J13" s="44" t="s">
        <v>75</v>
      </c>
      <c r="K13" s="45">
        <v>3300000</v>
      </c>
      <c r="L13" s="42" t="s">
        <v>100</v>
      </c>
      <c r="N13" s="250" t="s">
        <v>38</v>
      </c>
      <c r="O13" s="43">
        <v>1</v>
      </c>
      <c r="P13" s="44" t="s">
        <v>75</v>
      </c>
      <c r="Q13" s="45">
        <v>3300000</v>
      </c>
      <c r="R13" s="42" t="s">
        <v>101</v>
      </c>
    </row>
    <row r="14" spans="2:18" ht="12.75">
      <c r="B14" s="251"/>
      <c r="C14" s="43">
        <v>3300001</v>
      </c>
      <c r="D14" s="44" t="s">
        <v>75</v>
      </c>
      <c r="E14" s="45">
        <v>4100000</v>
      </c>
      <c r="F14" s="42" t="s">
        <v>103</v>
      </c>
      <c r="H14" s="251"/>
      <c r="I14" s="43">
        <v>3300001</v>
      </c>
      <c r="J14" s="44" t="s">
        <v>75</v>
      </c>
      <c r="K14" s="45">
        <v>4100000</v>
      </c>
      <c r="L14" s="42" t="s">
        <v>105</v>
      </c>
      <c r="N14" s="251"/>
      <c r="O14" s="43">
        <v>3300001</v>
      </c>
      <c r="P14" s="44" t="s">
        <v>75</v>
      </c>
      <c r="Q14" s="45">
        <v>4100000</v>
      </c>
      <c r="R14" s="42" t="s">
        <v>107</v>
      </c>
    </row>
    <row r="15" spans="2:18" ht="12.75">
      <c r="B15" s="251"/>
      <c r="C15" s="43">
        <v>4100001</v>
      </c>
      <c r="D15" s="44" t="s">
        <v>75</v>
      </c>
      <c r="E15" s="45">
        <v>7700000</v>
      </c>
      <c r="F15" s="42" t="s">
        <v>108</v>
      </c>
      <c r="H15" s="251"/>
      <c r="I15" s="43">
        <v>4100001</v>
      </c>
      <c r="J15" s="44" t="s">
        <v>75</v>
      </c>
      <c r="K15" s="45">
        <v>7700000</v>
      </c>
      <c r="L15" s="42" t="s">
        <v>110</v>
      </c>
      <c r="N15" s="251"/>
      <c r="O15" s="43">
        <v>4100001</v>
      </c>
      <c r="P15" s="44" t="s">
        <v>75</v>
      </c>
      <c r="Q15" s="45">
        <v>7700000</v>
      </c>
      <c r="R15" s="42" t="s">
        <v>111</v>
      </c>
    </row>
    <row r="16" spans="2:18" ht="12.75">
      <c r="B16" s="251"/>
      <c r="C16" s="43">
        <v>7700001</v>
      </c>
      <c r="D16" s="44" t="s">
        <v>75</v>
      </c>
      <c r="E16" s="45">
        <v>10000000</v>
      </c>
      <c r="F16" s="42" t="s">
        <v>112</v>
      </c>
      <c r="H16" s="251"/>
      <c r="I16" s="43">
        <v>7700001</v>
      </c>
      <c r="J16" s="44" t="s">
        <v>75</v>
      </c>
      <c r="K16" s="45">
        <v>10000000</v>
      </c>
      <c r="L16" s="42" t="s">
        <v>114</v>
      </c>
      <c r="N16" s="251"/>
      <c r="O16" s="43">
        <v>7700001</v>
      </c>
      <c r="P16" s="44" t="s">
        <v>75</v>
      </c>
      <c r="Q16" s="45">
        <v>10000000</v>
      </c>
      <c r="R16" s="42" t="s">
        <v>115</v>
      </c>
    </row>
    <row r="17" spans="2:18" ht="12.75">
      <c r="B17" s="252"/>
      <c r="C17" s="43">
        <v>10000001</v>
      </c>
      <c r="D17" s="44" t="s">
        <v>75</v>
      </c>
      <c r="E17" s="45"/>
      <c r="F17" s="42" t="s">
        <v>116</v>
      </c>
      <c r="H17" s="252"/>
      <c r="I17" s="43">
        <v>10000001</v>
      </c>
      <c r="J17" s="44" t="s">
        <v>75</v>
      </c>
      <c r="K17" s="45"/>
      <c r="L17" s="42" t="s">
        <v>118</v>
      </c>
      <c r="N17" s="252"/>
      <c r="O17" s="43">
        <v>10000001</v>
      </c>
      <c r="P17" s="44" t="s">
        <v>75</v>
      </c>
      <c r="Q17" s="45"/>
      <c r="R17" s="42" t="s">
        <v>120</v>
      </c>
    </row>
    <row r="18" spans="2:18" ht="12.75">
      <c r="B18" s="253" t="s">
        <v>92</v>
      </c>
      <c r="C18" s="43">
        <v>1</v>
      </c>
      <c r="D18" s="44" t="s">
        <v>75</v>
      </c>
      <c r="E18" s="45">
        <v>1300000</v>
      </c>
      <c r="F18" s="42" t="s">
        <v>121</v>
      </c>
      <c r="H18" s="253" t="s">
        <v>92</v>
      </c>
      <c r="I18" s="43">
        <v>1</v>
      </c>
      <c r="J18" s="44" t="s">
        <v>75</v>
      </c>
      <c r="K18" s="45">
        <v>1300000</v>
      </c>
      <c r="L18" s="42" t="s">
        <v>123</v>
      </c>
      <c r="N18" s="253" t="s">
        <v>92</v>
      </c>
      <c r="O18" s="43">
        <v>1</v>
      </c>
      <c r="P18" s="44" t="s">
        <v>75</v>
      </c>
      <c r="Q18" s="45">
        <v>1300000</v>
      </c>
      <c r="R18" s="42" t="s">
        <v>124</v>
      </c>
    </row>
    <row r="19" spans="2:18" ht="12.75">
      <c r="B19" s="254"/>
      <c r="C19" s="43">
        <v>1300001</v>
      </c>
      <c r="D19" s="44" t="s">
        <v>75</v>
      </c>
      <c r="E19" s="45">
        <v>4100000</v>
      </c>
      <c r="F19" s="42" t="s">
        <v>103</v>
      </c>
      <c r="H19" s="254"/>
      <c r="I19" s="43">
        <v>1300001</v>
      </c>
      <c r="J19" s="44" t="s">
        <v>75</v>
      </c>
      <c r="K19" s="45">
        <v>4100000</v>
      </c>
      <c r="L19" s="42" t="s">
        <v>105</v>
      </c>
      <c r="N19" s="254"/>
      <c r="O19" s="43">
        <v>1300001</v>
      </c>
      <c r="P19" s="44" t="s">
        <v>75</v>
      </c>
      <c r="Q19" s="45">
        <v>4100000</v>
      </c>
      <c r="R19" s="42" t="s">
        <v>107</v>
      </c>
    </row>
    <row r="20" spans="2:18" ht="12.75">
      <c r="B20" s="254"/>
      <c r="C20" s="43">
        <v>4100001</v>
      </c>
      <c r="D20" s="44" t="s">
        <v>60</v>
      </c>
      <c r="E20" s="45">
        <v>7700000</v>
      </c>
      <c r="F20" s="42" t="s">
        <v>108</v>
      </c>
      <c r="H20" s="254"/>
      <c r="I20" s="43">
        <v>4100001</v>
      </c>
      <c r="J20" s="44" t="s">
        <v>60</v>
      </c>
      <c r="K20" s="45">
        <v>7700000</v>
      </c>
      <c r="L20" s="42" t="s">
        <v>110</v>
      </c>
      <c r="N20" s="254"/>
      <c r="O20" s="43">
        <v>4100001</v>
      </c>
      <c r="P20" s="44" t="s">
        <v>60</v>
      </c>
      <c r="Q20" s="45">
        <v>7700000</v>
      </c>
      <c r="R20" s="42" t="s">
        <v>111</v>
      </c>
    </row>
    <row r="21" spans="2:18" ht="12.75">
      <c r="B21" s="254"/>
      <c r="C21" s="43">
        <v>7700001</v>
      </c>
      <c r="D21" s="44" t="s">
        <v>60</v>
      </c>
      <c r="E21" s="45">
        <v>10000000</v>
      </c>
      <c r="F21" s="42" t="s">
        <v>112</v>
      </c>
      <c r="H21" s="254"/>
      <c r="I21" s="43">
        <v>7700001</v>
      </c>
      <c r="J21" s="44" t="s">
        <v>60</v>
      </c>
      <c r="K21" s="45">
        <v>10000000</v>
      </c>
      <c r="L21" s="42" t="s">
        <v>114</v>
      </c>
      <c r="N21" s="254"/>
      <c r="O21" s="43">
        <v>7700001</v>
      </c>
      <c r="P21" s="44" t="s">
        <v>60</v>
      </c>
      <c r="Q21" s="45">
        <v>10000000</v>
      </c>
      <c r="R21" s="42" t="s">
        <v>115</v>
      </c>
    </row>
    <row r="22" spans="2:18" ht="12.75">
      <c r="B22" s="255"/>
      <c r="C22" s="43">
        <v>10000001</v>
      </c>
      <c r="D22" s="44" t="s">
        <v>75</v>
      </c>
      <c r="E22" s="45"/>
      <c r="F22" s="42" t="s">
        <v>116</v>
      </c>
      <c r="H22" s="255"/>
      <c r="I22" s="43">
        <v>10000001</v>
      </c>
      <c r="J22" s="44" t="s">
        <v>75</v>
      </c>
      <c r="K22" s="45"/>
      <c r="L22" s="42" t="s">
        <v>118</v>
      </c>
      <c r="N22" s="255"/>
      <c r="O22" s="43">
        <v>10000001</v>
      </c>
      <c r="P22" s="44" t="s">
        <v>75</v>
      </c>
      <c r="Q22" s="45"/>
      <c r="R22" s="42" t="s">
        <v>120</v>
      </c>
    </row>
    <row r="24" ht="12.75">
      <c r="B24" t="s">
        <v>134</v>
      </c>
    </row>
    <row r="25" ht="12.75">
      <c r="B25" t="s">
        <v>135</v>
      </c>
    </row>
    <row r="26" ht="12.75">
      <c r="B26" t="s">
        <v>136</v>
      </c>
    </row>
    <row r="28" ht="12.75">
      <c r="B28" t="s">
        <v>137</v>
      </c>
    </row>
    <row r="30" spans="3:8" ht="12.75">
      <c r="C30" t="str">
        <f>J6</f>
        <v>1,000万円以下</v>
      </c>
      <c r="F30" t="str">
        <f>J7</f>
        <v>1,000万円超2,000万円以下</v>
      </c>
      <c r="H30" t="str">
        <f>J8</f>
        <v>2,000万円超</v>
      </c>
    </row>
    <row r="31" spans="2:8" ht="12.75">
      <c r="B31" t="s">
        <v>38</v>
      </c>
      <c r="C31" t="e">
        <f>IF(AND($F$6=$H$6,$F$7=$J$6,$F$5&gt;=C13,$F$5&lt;=E13),1100000,0)</f>
        <v>#N/A</v>
      </c>
      <c r="F31" t="e">
        <f>IF(AND($F$6=$H$6,$F$7=$J$7,$F$5&gt;=I13,$F$5&lt;=K13),1000000,0)</f>
        <v>#N/A</v>
      </c>
      <c r="H31" t="e">
        <f>IF(AND($F$6=$H$6,$F$7=$J$8,$F$5&gt;=O13,$F$5&lt;=Q13),900000,0)</f>
        <v>#N/A</v>
      </c>
    </row>
    <row r="32" spans="3:8" ht="12.75">
      <c r="C32" t="e">
        <f>IF(AND($F$6=$H$6,$F$7=$J$6,$F$5&gt;=C14,$F$5&lt;=E14),ROUNDUP($F$5*0.25+275000,0),0)</f>
        <v>#N/A</v>
      </c>
      <c r="F32" t="e">
        <f>IF(AND($F$6=$H$6,$F$7=$J$7,$F$5&gt;=I14,$F$5&lt;=K14),ROUNDUP($F$5*0.25+175000,0),0)</f>
        <v>#N/A</v>
      </c>
      <c r="H32" t="e">
        <f>IF(AND($F$6=$H$6,$F$7=$J$8,$F$5&gt;=O14,$F$5&lt;=Q14),ROUNDUP($F$5*0.25+75000,0),0)</f>
        <v>#N/A</v>
      </c>
    </row>
    <row r="33" spans="3:8" ht="12.75">
      <c r="C33" t="e">
        <f>IF(AND($F$6=$H$6,$F$7=$J$6,$F$5&gt;=C15,$F$5&lt;=E15),ROUNDUP($F$5*0.15+685000,0),0)</f>
        <v>#N/A</v>
      </c>
      <c r="F33" t="e">
        <f>IF(AND($F$6=$H$6,$F$7=$J$7,$F$5&gt;=I15,$F$5&lt;=K15),ROUNDUP($F$5*0.15+585000,0),0)</f>
        <v>#N/A</v>
      </c>
      <c r="H33" t="e">
        <f>IF(AND($F$6=$H$6,$F$7=$J$8,$F$5&gt;=O15,$F$5&lt;=Q15),ROUNDUP($F$5*0.15+485000,0),0)</f>
        <v>#N/A</v>
      </c>
    </row>
    <row r="34" spans="3:8" ht="12.75">
      <c r="C34" t="e">
        <f>IF(AND($F$6=$H$6,$F$7=$J$6,$F$5&gt;=C16,$F$5&lt;=E16),ROUNDUP($F$5*0.05+1455000,0),0)</f>
        <v>#N/A</v>
      </c>
      <c r="F34" t="e">
        <f>IF(AND($F$6=$H$6,$F$7=$J$7,$F$5&gt;=I16,$F$5&lt;=K16),ROUNDUP($F$5*0.05+1355000,0),0)</f>
        <v>#N/A</v>
      </c>
      <c r="H34" t="e">
        <f>IF(AND($F$6=$H$6,$F$7=$J$8,$F$5&gt;=O16,$F$5&lt;=Q16),ROUNDUP($F$5*0.05+1255000,0),0)</f>
        <v>#N/A</v>
      </c>
    </row>
    <row r="35" spans="3:8" ht="12.75">
      <c r="C35" t="e">
        <f>IF(AND($F$6=$H$6,$F$7=$J$6,$F$5&gt;=C17),1955000,0)</f>
        <v>#N/A</v>
      </c>
      <c r="F35" t="e">
        <f>IF(AND($F$6=$H$6,$F$7=$J$7,$F$5&gt;=I17),1855000,0)</f>
        <v>#N/A</v>
      </c>
      <c r="H35" t="e">
        <f>IF(AND($F$6=$H$6,$F$7=$J$8,$F$5&gt;=O17),1755000,0)</f>
        <v>#N/A</v>
      </c>
    </row>
    <row r="36" spans="2:8" ht="12.75">
      <c r="B36" t="s">
        <v>92</v>
      </c>
      <c r="C36" t="e">
        <f>IF(AND($F$6=$H$7,$F$7=$J$6,$F$5&gt;=C18,$F$5&lt;=E18),600000,0)</f>
        <v>#N/A</v>
      </c>
      <c r="F36" t="e">
        <f>IF(AND($F$6=$H$7,$F$7=$J$7,$F$5&gt;=I18,$F$5&lt;=K18),500000,0)</f>
        <v>#N/A</v>
      </c>
      <c r="H36" t="e">
        <f>IF(AND($F$6=$H$7,$F$7=$J$8,$F$5&gt;=O18,$F$5&lt;=Q18),400000,0)</f>
        <v>#N/A</v>
      </c>
    </row>
    <row r="37" spans="3:8" ht="12.75">
      <c r="C37" t="e">
        <f>IF(AND($F$6=$H$7,$F$7=$J$6,$F$5&gt;=C19,$F$5&lt;=E19),ROUNDUP($F$5*0.25+275000,0),0)</f>
        <v>#N/A</v>
      </c>
      <c r="F37" t="e">
        <f>IF(AND($F$6=$H$7,$F$7=$J$7,$F$5&gt;=I19,$F$5&lt;=K19),ROUNDUP($F$5*0.25+175000,0),0)</f>
        <v>#N/A</v>
      </c>
      <c r="H37" t="e">
        <f>IF(AND($F$6=$H$7,$F$7=$J$8,$F$5&gt;=O19,$F$5&lt;=Q19),ROUNDUP($F$5*0.25+75000,0),0)</f>
        <v>#N/A</v>
      </c>
    </row>
    <row r="38" spans="3:8" ht="12.75">
      <c r="C38" t="e">
        <f>IF(AND($F$6=$H$7,$F$7=$J$6,$F$5&gt;=C20,$F$5&lt;=E20),ROUNDUP($F$5*0.15+685000,0),0)</f>
        <v>#N/A</v>
      </c>
      <c r="F38" t="e">
        <f>IF(AND($F$6=$H$7,$F$7=$J$7,$F$5&gt;=I20,$F$5&lt;=K20),ROUNDUP($F$5*0.15+585000,0),0)</f>
        <v>#N/A</v>
      </c>
      <c r="H38" t="e">
        <f>IF(AND($F$6=$H$7,$F$7=$J$8,$F$5&gt;=O20,$F$5&lt;=Q20),ROUNDUP($F$5*0.15+485000,0),0)</f>
        <v>#N/A</v>
      </c>
    </row>
    <row r="39" spans="3:8" ht="12.75">
      <c r="C39" t="e">
        <f>IF(AND($F$6=$H$7,$F$7=$J$6,$F$5&gt;=C21,$F$5&lt;=E21),ROUNDUP($F$5*0.05+1455000,0),0)</f>
        <v>#N/A</v>
      </c>
      <c r="F39" t="e">
        <f>IF(AND($F$6=$H$7,$F$7=$J$7,$F$5&gt;=I21,$F$5&lt;=K21),ROUNDUP($F$5*0.05+1355000,0),0)</f>
        <v>#N/A</v>
      </c>
      <c r="H39" t="e">
        <f>IF(AND($F$6=$H$7,$F$7=$J$8,$F$5&gt;=O21,$F$5&lt;=Q21),ROUNDUP($F$5*0.05+1255000,0),0)</f>
        <v>#N/A</v>
      </c>
    </row>
    <row r="40" spans="3:8" ht="12.75">
      <c r="C40" t="e">
        <f>IF(AND($F$6=$H$7,$F$7=$J$6,$F$5&gt;=C22),1955000,0)</f>
        <v>#N/A</v>
      </c>
      <c r="F40" t="e">
        <f>IF(AND($F$6=$H$7,$F$7=$J$7,$F$5&gt;=I22),1855000,0)</f>
        <v>#N/A</v>
      </c>
      <c r="H40" t="e">
        <f>IF(AND($F$6=$H$7,$F$7=$J$8,$F$5&gt;=O22),1755000,0)</f>
        <v>#N/A</v>
      </c>
    </row>
    <row r="42" spans="2:10" ht="12.75">
      <c r="B42" t="s">
        <v>138</v>
      </c>
      <c r="C42" t="e">
        <f>SUM(C31:C41)</f>
        <v>#N/A</v>
      </c>
      <c r="F42" t="e">
        <f>SUM(F31:F41)</f>
        <v>#N/A</v>
      </c>
      <c r="H42" t="e">
        <f>SUM(H31:H41)</f>
        <v>#N/A</v>
      </c>
      <c r="J42" t="e">
        <f>SUM(C42:H42)</f>
        <v>#N/A</v>
      </c>
    </row>
    <row r="43" spans="2:6" ht="39">
      <c r="B43" s="46" t="s">
        <v>139</v>
      </c>
      <c r="C43" t="e">
        <f>MAX($F$5-J42,0)</f>
        <v>#N/A</v>
      </c>
      <c r="E43">
        <v>100000</v>
      </c>
      <c r="F43" t="s">
        <v>84</v>
      </c>
    </row>
    <row r="47" ht="12.75">
      <c r="A47" t="s">
        <v>140</v>
      </c>
    </row>
    <row r="49" spans="2:3" ht="12.75">
      <c r="B49" s="83" t="e">
        <f>'加入者(7)'!F19+'加入者(7)'!F20-100000</f>
        <v>#N/A</v>
      </c>
      <c r="C49" t="s">
        <v>0</v>
      </c>
    </row>
    <row r="51" spans="2:8" ht="12.75">
      <c r="B51" t="s">
        <v>148</v>
      </c>
      <c r="C51" t="s">
        <v>149</v>
      </c>
      <c r="E51" t="s">
        <v>141</v>
      </c>
      <c r="F51" t="s">
        <v>4</v>
      </c>
      <c r="G51" t="s">
        <v>158</v>
      </c>
      <c r="H51" t="s">
        <v>159</v>
      </c>
    </row>
    <row r="52" spans="2:9" ht="12.75">
      <c r="B52" t="s">
        <v>26</v>
      </c>
      <c r="C52" t="s">
        <v>92</v>
      </c>
      <c r="E52" s="85">
        <f>'計算シート17'!J10</f>
        <v>0</v>
      </c>
      <c r="F52" s="86">
        <f>'HP用'!G24</f>
        <v>0</v>
      </c>
      <c r="G52" s="35">
        <f>E52+F52</f>
        <v>0</v>
      </c>
      <c r="H52">
        <v>10000000</v>
      </c>
      <c r="I52" t="s">
        <v>40</v>
      </c>
    </row>
    <row r="53" spans="2:9" ht="12.75">
      <c r="B53" t="s">
        <v>146</v>
      </c>
      <c r="C53" t="s">
        <v>92</v>
      </c>
      <c r="H53">
        <v>10000001</v>
      </c>
      <c r="I53" t="s">
        <v>93</v>
      </c>
    </row>
    <row r="54" spans="2:9" ht="12.75">
      <c r="B54" t="s">
        <v>25</v>
      </c>
      <c r="C54" t="s">
        <v>38</v>
      </c>
      <c r="H54">
        <v>20000001</v>
      </c>
      <c r="I54" t="s">
        <v>94</v>
      </c>
    </row>
  </sheetData>
  <sheetProtection/>
  <mergeCells count="9">
    <mergeCell ref="O12:Q12"/>
    <mergeCell ref="B13:B17"/>
    <mergeCell ref="H13:H17"/>
    <mergeCell ref="N13:N17"/>
    <mergeCell ref="B18:B22"/>
    <mergeCell ref="H18:H22"/>
    <mergeCell ref="N18:N22"/>
    <mergeCell ref="C12:E12"/>
    <mergeCell ref="I12:K12"/>
  </mergeCells>
  <printOptions/>
  <pageMargins left="0.7" right="0.7" top="0.75" bottom="0.75" header="0.3" footer="0.3"/>
  <pageSetup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sheetPr codeName="Sheet1">
    <tabColor rgb="FFFFFF00"/>
  </sheetPr>
  <dimension ref="A1:G26"/>
  <sheetViews>
    <sheetView view="pageBreakPreview" zoomScaleSheetLayoutView="100" zoomScalePageLayoutView="0" workbookViewId="0" topLeftCell="A1">
      <selection activeCell="F6" sqref="F6"/>
    </sheetView>
  </sheetViews>
  <sheetFormatPr defaultColWidth="9.140625" defaultRowHeight="15"/>
  <cols>
    <col min="1" max="1" width="3.7109375" style="0" customWidth="1"/>
    <col min="3" max="3" width="11.8515625" style="0" customWidth="1"/>
    <col min="4" max="4" width="11.28125" style="0" customWidth="1"/>
    <col min="5" max="5" width="14.8515625" style="0" customWidth="1"/>
    <col min="6" max="6" width="31.140625" style="0" customWidth="1"/>
    <col min="7" max="7" width="7.140625" style="0" customWidth="1"/>
  </cols>
  <sheetData>
    <row r="1" spans="1:7" ht="29.25" customHeight="1">
      <c r="A1" s="47" t="s">
        <v>34</v>
      </c>
      <c r="B1" s="48"/>
      <c r="C1" s="48"/>
      <c r="D1" s="48"/>
      <c r="E1" s="48"/>
      <c r="F1" s="48"/>
      <c r="G1" s="48"/>
    </row>
    <row r="2" spans="1:7" ht="4.5" customHeight="1">
      <c r="A2" s="47"/>
      <c r="B2" s="48"/>
      <c r="C2" s="48"/>
      <c r="D2" s="48"/>
      <c r="E2" s="48"/>
      <c r="F2" s="48"/>
      <c r="G2" s="48"/>
    </row>
    <row r="3" spans="1:7" ht="21" customHeight="1">
      <c r="A3" s="48"/>
      <c r="B3" s="48" t="s">
        <v>154</v>
      </c>
      <c r="C3" s="48"/>
      <c r="D3" s="48"/>
      <c r="E3" s="240" t="s">
        <v>155</v>
      </c>
      <c r="F3" s="240"/>
      <c r="G3" s="48"/>
    </row>
    <row r="4" spans="1:7" ht="21" customHeight="1">
      <c r="A4" s="48"/>
      <c r="B4" s="48" t="s">
        <v>153</v>
      </c>
      <c r="C4" s="48"/>
      <c r="D4" s="48"/>
      <c r="E4" s="49"/>
      <c r="F4" s="48"/>
      <c r="G4" s="48"/>
    </row>
    <row r="5" spans="1:7" ht="19.5" customHeight="1">
      <c r="A5" s="50" t="s">
        <v>157</v>
      </c>
      <c r="B5" s="48"/>
      <c r="C5" s="48"/>
      <c r="D5" s="48"/>
      <c r="E5" s="48"/>
      <c r="F5" s="48"/>
      <c r="G5" s="48"/>
    </row>
    <row r="6" spans="1:7" ht="28.5" customHeight="1">
      <c r="A6" s="48"/>
      <c r="B6" s="51" t="s">
        <v>35</v>
      </c>
      <c r="C6" s="52"/>
      <c r="D6" s="52"/>
      <c r="E6" s="52"/>
      <c r="F6" s="53">
        <f>'HP用'!E18</f>
        <v>0</v>
      </c>
      <c r="G6" s="54" t="s">
        <v>0</v>
      </c>
    </row>
    <row r="7" spans="1:7" ht="28.5" customHeight="1">
      <c r="A7" s="48"/>
      <c r="B7" s="51" t="s">
        <v>36</v>
      </c>
      <c r="C7" s="52"/>
      <c r="D7" s="52"/>
      <c r="E7" s="52"/>
      <c r="F7" s="53">
        <f>'HP用'!F18</f>
        <v>0</v>
      </c>
      <c r="G7" s="54" t="s">
        <v>0</v>
      </c>
    </row>
    <row r="8" spans="1:7" ht="28.5" customHeight="1">
      <c r="A8" s="48"/>
      <c r="B8" s="55" t="s">
        <v>37</v>
      </c>
      <c r="C8" s="56"/>
      <c r="D8" s="56"/>
      <c r="E8" s="56"/>
      <c r="F8" s="241" t="e">
        <f>VLOOKUP('HP用'!D18,'計算シート２'!$B$52:$C$54,2,1)</f>
        <v>#N/A</v>
      </c>
      <c r="G8" s="242"/>
    </row>
    <row r="9" spans="1:7" ht="28.5" customHeight="1">
      <c r="A9" s="48"/>
      <c r="B9" s="243" t="s">
        <v>39</v>
      </c>
      <c r="C9" s="243"/>
      <c r="D9" s="243"/>
      <c r="E9" s="243"/>
      <c r="F9" s="244" t="str">
        <f>_xlfn.IFERROR(VLOOKUP('計算シート２'!G52,'計算シート２'!$H$52:$I$54,2,1),"1,000万円以下")</f>
        <v>1,000万円以下</v>
      </c>
      <c r="G9" s="244"/>
    </row>
    <row r="10" spans="1:7" ht="4.5" customHeight="1">
      <c r="A10" s="48"/>
      <c r="B10" s="48"/>
      <c r="C10" s="48"/>
      <c r="D10" s="48"/>
      <c r="E10" s="48"/>
      <c r="F10" s="48"/>
      <c r="G10" s="48"/>
    </row>
    <row r="11" spans="1:7" ht="19.5" customHeight="1">
      <c r="A11" s="50"/>
      <c r="B11" s="57" t="s">
        <v>41</v>
      </c>
      <c r="C11" s="48"/>
      <c r="D11" s="48"/>
      <c r="E11" s="48"/>
      <c r="F11" s="48"/>
      <c r="G11" s="48"/>
    </row>
    <row r="12" spans="1:7" ht="19.5" customHeight="1">
      <c r="A12" s="50"/>
      <c r="B12" s="57"/>
      <c r="C12" s="48"/>
      <c r="D12" s="48"/>
      <c r="E12" s="48"/>
      <c r="F12" s="48"/>
      <c r="G12" s="48"/>
    </row>
    <row r="13" spans="1:7" ht="19.5" customHeight="1">
      <c r="A13" s="50" t="s">
        <v>156</v>
      </c>
      <c r="B13" s="57"/>
      <c r="C13" s="48"/>
      <c r="D13" s="48"/>
      <c r="E13" s="48"/>
      <c r="F13" s="48"/>
      <c r="G13" s="48"/>
    </row>
    <row r="14" spans="1:7" ht="90" customHeight="1">
      <c r="A14" s="50"/>
      <c r="B14" s="235" t="s">
        <v>142</v>
      </c>
      <c r="C14" s="236"/>
      <c r="D14" s="236"/>
      <c r="E14" s="237"/>
      <c r="F14" s="238">
        <f>_xlfn.IFERROR('HP用'!C18,"非該当")</f>
        <v>0</v>
      </c>
      <c r="G14" s="239"/>
    </row>
    <row r="15" spans="1:7" ht="28.5" customHeight="1">
      <c r="A15" s="50"/>
      <c r="B15" s="232" t="s">
        <v>42</v>
      </c>
      <c r="C15" s="233"/>
      <c r="D15" s="233"/>
      <c r="E15" s="234"/>
      <c r="F15" s="58" t="str">
        <f>'計算シート１'!I12</f>
        <v>0</v>
      </c>
      <c r="G15" s="59" t="s">
        <v>0</v>
      </c>
    </row>
    <row r="16" spans="1:7" ht="19.5" customHeight="1">
      <c r="A16" s="48"/>
      <c r="B16" s="48"/>
      <c r="C16" s="48"/>
      <c r="D16" s="48"/>
      <c r="E16" s="48"/>
      <c r="F16" s="48"/>
      <c r="G16" s="48"/>
    </row>
    <row r="17" spans="1:7" ht="19.5" customHeight="1">
      <c r="A17" s="50" t="s">
        <v>43</v>
      </c>
      <c r="B17" s="48"/>
      <c r="C17" s="48"/>
      <c r="D17" s="48"/>
      <c r="E17" s="48"/>
      <c r="F17" s="48"/>
      <c r="G17" s="48"/>
    </row>
    <row r="18" spans="1:7" ht="10.5" customHeight="1">
      <c r="A18" s="48"/>
      <c r="B18" s="48"/>
      <c r="C18" s="48"/>
      <c r="D18" s="48"/>
      <c r="E18" s="48"/>
      <c r="F18" s="48"/>
      <c r="G18" s="48"/>
    </row>
    <row r="19" spans="1:7" ht="28.5" customHeight="1">
      <c r="A19" s="48"/>
      <c r="B19" s="51" t="s">
        <v>44</v>
      </c>
      <c r="C19" s="52"/>
      <c r="D19" s="52"/>
      <c r="E19" s="52"/>
      <c r="F19" s="60">
        <f>IF('計算シート１'!C34&lt;=100000,'計算シート１'!C34,'計算シート１'!E34)</f>
        <v>0</v>
      </c>
      <c r="G19" s="54" t="s">
        <v>0</v>
      </c>
    </row>
    <row r="20" spans="1:7" ht="28.5" customHeight="1" thickBot="1">
      <c r="A20" s="48"/>
      <c r="B20" s="51" t="s">
        <v>45</v>
      </c>
      <c r="C20" s="52"/>
      <c r="D20" s="52"/>
      <c r="E20" s="52"/>
      <c r="F20" s="60" t="e">
        <f>IF('計算シート２'!C43&lt;=100000,'計算シート２'!C43,'計算シート２'!E43)</f>
        <v>#N/A</v>
      </c>
      <c r="G20" s="54" t="s">
        <v>0</v>
      </c>
    </row>
    <row r="21" spans="1:7" ht="28.5" customHeight="1" thickTop="1">
      <c r="A21" s="48"/>
      <c r="B21" s="61" t="s">
        <v>46</v>
      </c>
      <c r="C21" s="62"/>
      <c r="D21" s="62"/>
      <c r="E21" s="62"/>
      <c r="F21" s="63" t="e">
        <f>IF('計算シート２'!B49&gt;=0,'計算シート２'!B49,0)</f>
        <v>#N/A</v>
      </c>
      <c r="G21" s="64" t="s">
        <v>0</v>
      </c>
    </row>
    <row r="22" spans="1:7" ht="12.75">
      <c r="A22" s="48"/>
      <c r="B22" s="48"/>
      <c r="C22" s="48"/>
      <c r="D22" s="48"/>
      <c r="E22" s="48"/>
      <c r="F22" s="48"/>
      <c r="G22" s="48"/>
    </row>
    <row r="23" spans="1:7" ht="19.5" customHeight="1">
      <c r="A23" s="50" t="s">
        <v>47</v>
      </c>
      <c r="B23" s="48"/>
      <c r="C23" s="48"/>
      <c r="D23" s="48"/>
      <c r="E23" s="48"/>
      <c r="F23" s="48"/>
      <c r="G23" s="48"/>
    </row>
    <row r="24" spans="1:7" ht="28.5" customHeight="1">
      <c r="A24" s="48"/>
      <c r="B24" s="55" t="s">
        <v>48</v>
      </c>
      <c r="C24" s="56"/>
      <c r="D24" s="56"/>
      <c r="E24" s="65"/>
      <c r="F24" s="80" t="str">
        <f>_xlfn.IFERROR('計算シート１'!C34-('加入者(1)'!F15+'加入者(1)'!F21),"0")</f>
        <v>0</v>
      </c>
      <c r="G24" s="65" t="s">
        <v>0</v>
      </c>
    </row>
    <row r="25" spans="1:7" ht="28.5" customHeight="1" thickBot="1">
      <c r="A25" s="48"/>
      <c r="B25" s="66" t="s">
        <v>49</v>
      </c>
      <c r="C25" s="67"/>
      <c r="D25" s="67"/>
      <c r="E25" s="68"/>
      <c r="F25" s="79" t="str">
        <f>_xlfn.IFERROR('計算シート２'!C43,"0")</f>
        <v>0</v>
      </c>
      <c r="G25" s="68" t="s">
        <v>0</v>
      </c>
    </row>
    <row r="26" spans="1:7" ht="28.5" customHeight="1" thickTop="1">
      <c r="A26" s="48"/>
      <c r="B26" s="69" t="s">
        <v>50</v>
      </c>
      <c r="C26" s="70"/>
      <c r="D26" s="70"/>
      <c r="E26" s="71"/>
      <c r="F26" s="72">
        <f>F24+F25</f>
        <v>0</v>
      </c>
      <c r="G26" s="71" t="s">
        <v>0</v>
      </c>
    </row>
  </sheetData>
  <sheetProtection/>
  <mergeCells count="7">
    <mergeCell ref="B15:E15"/>
    <mergeCell ref="B14:E14"/>
    <mergeCell ref="F14:G14"/>
    <mergeCell ref="E3:F3"/>
    <mergeCell ref="F8:G8"/>
    <mergeCell ref="B9:E9"/>
    <mergeCell ref="F9:G9"/>
  </mergeCells>
  <dataValidations count="3">
    <dataValidation allowBlank="1" showErrorMessage="1" promptTitle="給与収入額を入力してください。" prompt="・給与等の収入金額が８５０万円を超えて下記２のア～ウに該当する場合は、下記２．所得金額調整額の「該当」するを選択してください。&#10;・公的年金等の収入がなければ、４．給与所得金額をHP用に入力してください。&#10;" sqref="F6"/>
    <dataValidation allowBlank="1" showErrorMessage="1" promptTitle="公的年金等の収入額を入力してください。" prompt="公的年金等の収入額を入力した場合、下記の年齢および公的年金等に係る雑所得以外の所得に係る合計所得金額を選択してください。" sqref="F7"/>
    <dataValidation allowBlank="1" showErrorMessage="1" promptTitle="公的年金等の収入を入力した方は合計所得金額を選択してください。" prompt="※公的年金等に係る雑所得以外の所得に係る合計所得金額となりますので、選択するときは注意してください。" sqref="F9:G9"/>
  </dataValidations>
  <printOptions/>
  <pageMargins left="0.7" right="0.48" top="0.73" bottom="0.47"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2"/>
  <dimension ref="A1:L41"/>
  <sheetViews>
    <sheetView zoomScalePageLayoutView="0" workbookViewId="0" topLeftCell="A16">
      <selection activeCell="E5" sqref="E5"/>
    </sheetView>
  </sheetViews>
  <sheetFormatPr defaultColWidth="9.140625" defaultRowHeight="15"/>
  <cols>
    <col min="1" max="1" width="12.140625" style="0" customWidth="1"/>
    <col min="2" max="2" width="4.8515625" style="0" customWidth="1"/>
    <col min="3" max="3" width="14.7109375" style="0" customWidth="1"/>
    <col min="4" max="4" width="12.8515625" style="0" customWidth="1"/>
    <col min="5" max="5" width="16.28125" style="0" customWidth="1"/>
    <col min="6" max="7" width="14.7109375" style="0" customWidth="1"/>
    <col min="8" max="8" width="4.421875" style="0" customWidth="1"/>
    <col min="9" max="9" width="25.00390625" style="34" customWidth="1"/>
    <col min="10" max="10" width="25.00390625" style="0" customWidth="1"/>
    <col min="11" max="13" width="14.7109375" style="0" customWidth="1"/>
    <col min="14" max="18" width="9.00390625" style="0" customWidth="1"/>
  </cols>
  <sheetData>
    <row r="1" ht="12.75">
      <c r="A1" t="s">
        <v>51</v>
      </c>
    </row>
    <row r="3" spans="1:12" ht="12.75">
      <c r="A3" t="s">
        <v>52</v>
      </c>
      <c r="I3" s="245" t="s">
        <v>53</v>
      </c>
      <c r="J3" s="245"/>
      <c r="K3" s="245"/>
      <c r="L3" s="245"/>
    </row>
    <row r="4" spans="9:12" ht="12.75">
      <c r="I4" s="245" t="s">
        <v>54</v>
      </c>
      <c r="J4" s="245"/>
      <c r="K4" s="245"/>
      <c r="L4" s="245"/>
    </row>
    <row r="5" spans="1:12" ht="12.75">
      <c r="A5" t="s">
        <v>35</v>
      </c>
      <c r="E5" s="83">
        <f>IF('加入者(1)'!F6="","",'加入者(1)'!F6)</f>
        <v>0</v>
      </c>
      <c r="F5" t="s">
        <v>0</v>
      </c>
      <c r="I5" s="245" t="s">
        <v>55</v>
      </c>
      <c r="J5" s="245"/>
      <c r="K5" s="245"/>
      <c r="L5" s="245"/>
    </row>
    <row r="6" spans="9:12" ht="12.75">
      <c r="I6" s="245" t="s">
        <v>56</v>
      </c>
      <c r="J6" s="245"/>
      <c r="K6" s="245"/>
      <c r="L6" s="245"/>
    </row>
    <row r="7" spans="1:12" ht="12.75">
      <c r="A7" t="s">
        <v>57</v>
      </c>
      <c r="D7" t="s">
        <v>58</v>
      </c>
      <c r="I7" s="245" t="s">
        <v>59</v>
      </c>
      <c r="J7" s="245"/>
      <c r="K7" s="245"/>
      <c r="L7" s="245"/>
    </row>
    <row r="8" spans="9:10" ht="12.75">
      <c r="I8" s="34" t="s">
        <v>143</v>
      </c>
      <c r="J8" t="s">
        <v>144</v>
      </c>
    </row>
    <row r="9" spans="1:12" ht="13.5" customHeight="1">
      <c r="A9">
        <v>1</v>
      </c>
      <c r="B9" t="s">
        <v>60</v>
      </c>
      <c r="C9" s="35">
        <v>550999</v>
      </c>
      <c r="D9" t="s">
        <v>61</v>
      </c>
      <c r="I9" s="34" t="s">
        <v>62</v>
      </c>
      <c r="J9" s="246" t="s">
        <v>63</v>
      </c>
      <c r="K9" s="246"/>
      <c r="L9" s="36"/>
    </row>
    <row r="10" spans="1:12" ht="12.75">
      <c r="A10" s="35">
        <v>551000</v>
      </c>
      <c r="B10" t="s">
        <v>60</v>
      </c>
      <c r="C10" s="35">
        <v>1618999</v>
      </c>
      <c r="D10" t="s">
        <v>64</v>
      </c>
      <c r="I10" s="84" t="b">
        <f>IF('加入者(1)'!F14="該当",E5)</f>
        <v>0</v>
      </c>
      <c r="J10" s="37">
        <f>C34</f>
        <v>0</v>
      </c>
      <c r="K10" s="38"/>
      <c r="L10" s="36"/>
    </row>
    <row r="11" spans="1:12" ht="12.75">
      <c r="A11" s="35">
        <v>1619000</v>
      </c>
      <c r="B11" t="s">
        <v>60</v>
      </c>
      <c r="C11" s="35">
        <v>1619999</v>
      </c>
      <c r="D11" t="s">
        <v>65</v>
      </c>
      <c r="I11" s="34" t="s">
        <v>66</v>
      </c>
      <c r="J11" s="36"/>
      <c r="K11" s="36"/>
      <c r="L11" s="36"/>
    </row>
    <row r="12" spans="1:12" ht="12.75">
      <c r="A12" s="35">
        <v>1620000</v>
      </c>
      <c r="B12" t="s">
        <v>60</v>
      </c>
      <c r="C12" s="35">
        <v>1621999</v>
      </c>
      <c r="D12" t="s">
        <v>67</v>
      </c>
      <c r="I12" s="87" t="str">
        <f>_xlfn.IFERROR(VLOOKUP(I10,$J$20:$L$21,3,1),"0")</f>
        <v>0</v>
      </c>
      <c r="J12" s="36"/>
      <c r="K12" s="38"/>
      <c r="L12" s="36"/>
    </row>
    <row r="13" spans="1:10" ht="12.75">
      <c r="A13" s="35">
        <v>1622000</v>
      </c>
      <c r="B13" t="s">
        <v>60</v>
      </c>
      <c r="C13" s="35">
        <v>1623999</v>
      </c>
      <c r="D13" t="s">
        <v>68</v>
      </c>
      <c r="I13" s="245" t="s">
        <v>69</v>
      </c>
      <c r="J13" s="245"/>
    </row>
    <row r="14" spans="1:12" ht="12.75">
      <c r="A14" s="35">
        <v>1624000</v>
      </c>
      <c r="B14" t="s">
        <v>60</v>
      </c>
      <c r="C14" s="35">
        <v>1627999</v>
      </c>
      <c r="D14" t="s">
        <v>70</v>
      </c>
      <c r="I14" s="34">
        <f>_xlfn.IFERROR(J10-I12,"0")</f>
        <v>0</v>
      </c>
      <c r="J14" s="36"/>
      <c r="K14" s="36"/>
      <c r="L14" s="36"/>
    </row>
    <row r="15" spans="1:12" ht="12.75">
      <c r="A15" s="35">
        <v>1628000</v>
      </c>
      <c r="B15" t="s">
        <v>60</v>
      </c>
      <c r="C15" s="35">
        <v>1799999</v>
      </c>
      <c r="D15" t="s">
        <v>71</v>
      </c>
      <c r="I15" s="40"/>
      <c r="J15" s="36"/>
      <c r="K15" s="38"/>
      <c r="L15" s="38"/>
    </row>
    <row r="16" spans="1:12" ht="12.75">
      <c r="A16" s="35">
        <v>1800000</v>
      </c>
      <c r="B16" t="s">
        <v>60</v>
      </c>
      <c r="C16" s="35">
        <v>3599999</v>
      </c>
      <c r="D16" t="s">
        <v>72</v>
      </c>
      <c r="J16" s="36"/>
      <c r="K16" s="38"/>
      <c r="L16" s="38"/>
    </row>
    <row r="17" spans="1:4" ht="12.75">
      <c r="A17" s="35">
        <v>3600000</v>
      </c>
      <c r="B17" t="s">
        <v>60</v>
      </c>
      <c r="C17" s="35">
        <v>6599999</v>
      </c>
      <c r="D17" t="s">
        <v>73</v>
      </c>
    </row>
    <row r="18" spans="1:4" ht="12.75">
      <c r="A18" s="35">
        <v>6600000</v>
      </c>
      <c r="B18" t="s">
        <v>60</v>
      </c>
      <c r="C18" s="35">
        <v>8499999</v>
      </c>
      <c r="D18" t="s">
        <v>74</v>
      </c>
    </row>
    <row r="19" spans="1:12" ht="12.75">
      <c r="A19" s="35">
        <v>8500000</v>
      </c>
      <c r="B19" t="s">
        <v>75</v>
      </c>
      <c r="D19" t="s">
        <v>76</v>
      </c>
      <c r="I19" s="34" t="s">
        <v>77</v>
      </c>
      <c r="J19" s="36" t="s">
        <v>78</v>
      </c>
      <c r="K19" s="36" t="s">
        <v>79</v>
      </c>
      <c r="L19" s="36" t="s">
        <v>80</v>
      </c>
    </row>
    <row r="20" spans="9:12" ht="12.75">
      <c r="I20" s="34" t="s">
        <v>81</v>
      </c>
      <c r="J20" s="36">
        <v>8500000</v>
      </c>
      <c r="K20" s="38" t="b">
        <f>I10</f>
        <v>0</v>
      </c>
      <c r="L20" s="38">
        <f>(K20-8500000)*0.1</f>
        <v>-850000</v>
      </c>
    </row>
    <row r="21" spans="9:12" ht="12.75">
      <c r="I21" s="34" t="s">
        <v>82</v>
      </c>
      <c r="J21" s="36">
        <v>10000001</v>
      </c>
      <c r="K21" s="38" t="b">
        <f>I10</f>
        <v>0</v>
      </c>
      <c r="L21" s="38">
        <f>(10000000-8500000)*0.1</f>
        <v>150000</v>
      </c>
    </row>
    <row r="22" ht="12.75">
      <c r="C22" t="s">
        <v>83</v>
      </c>
    </row>
    <row r="23" ht="12.75">
      <c r="C23">
        <f>IF(E5&lt;=C9,0,0)</f>
        <v>0</v>
      </c>
    </row>
    <row r="24" ht="12.75">
      <c r="C24">
        <f>IF(AND($E$5&gt;=A10,$E$5&lt;=C10),$E$5-550000,0)</f>
        <v>0</v>
      </c>
    </row>
    <row r="25" ht="12.75">
      <c r="C25">
        <f>IF(AND($E$5&gt;=A11,$E$5&lt;=C11),1069000,0)</f>
        <v>0</v>
      </c>
    </row>
    <row r="26" ht="12.75">
      <c r="C26">
        <f>IF(AND($E$5&gt;=A12,$E$5&lt;=C12),1070000,0)</f>
        <v>0</v>
      </c>
    </row>
    <row r="27" ht="12.75">
      <c r="C27">
        <f>IF(AND($E$5&gt;=A13,$E$5&lt;=C13),1072000,0)</f>
        <v>0</v>
      </c>
    </row>
    <row r="28" ht="12.75">
      <c r="C28">
        <f>IF(AND($E$5&gt;=A14,$E$5&lt;=C14),1074000,0)</f>
        <v>0</v>
      </c>
    </row>
    <row r="29" ht="12.75">
      <c r="C29">
        <f>IF(AND($E$5&gt;=A15,$E$5&lt;=C15),ROUNDDOWN($E$5/4,-3)*2.4+100000,0)</f>
        <v>0</v>
      </c>
    </row>
    <row r="30" ht="12.75">
      <c r="C30">
        <f>IF(AND($E$5&gt;=A16,$E$5&lt;=C16),ROUNDDOWN($E$5/4,-3)*2.8-80000,0)</f>
        <v>0</v>
      </c>
    </row>
    <row r="31" ht="12.75">
      <c r="C31">
        <f>IF(AND($E$5&gt;=A17,$E$5&lt;=C17),ROUNDDOWN($E$5/4,-3)*3.2-440000,0)</f>
        <v>0</v>
      </c>
    </row>
    <row r="32" ht="12.75">
      <c r="C32">
        <f>IF(AND($E$5&gt;=A18,$E$5&lt;=C18),ROUNDDOWN($E$5*0.9,0)-1100000,0)</f>
        <v>0</v>
      </c>
    </row>
    <row r="33" ht="12.75">
      <c r="C33">
        <f>IF($E$5&gt;=A19,$E$5-1950000,0)</f>
        <v>0</v>
      </c>
    </row>
    <row r="34" spans="1:6" ht="12.75">
      <c r="A34" t="s">
        <v>33</v>
      </c>
      <c r="C34">
        <f>SUM(C23:C33)</f>
        <v>0</v>
      </c>
      <c r="E34">
        <v>100000</v>
      </c>
      <c r="F34" t="s">
        <v>84</v>
      </c>
    </row>
    <row r="37" ht="12.75">
      <c r="A37" t="s">
        <v>85</v>
      </c>
    </row>
    <row r="38" ht="12.75">
      <c r="A38" t="s">
        <v>86</v>
      </c>
    </row>
    <row r="39" ht="12.75">
      <c r="A39" t="s">
        <v>55</v>
      </c>
    </row>
    <row r="40" ht="12.75">
      <c r="A40" t="s">
        <v>56</v>
      </c>
    </row>
    <row r="41" ht="12.75">
      <c r="A41" t="s">
        <v>59</v>
      </c>
    </row>
  </sheetData>
  <sheetProtection/>
  <mergeCells count="7">
    <mergeCell ref="I13:J13"/>
    <mergeCell ref="I3:L3"/>
    <mergeCell ref="I4:L4"/>
    <mergeCell ref="I5:L5"/>
    <mergeCell ref="I6:L6"/>
    <mergeCell ref="I7:L7"/>
    <mergeCell ref="J9:K9"/>
  </mergeCells>
  <printOptions/>
  <pageMargins left="0.7" right="0.7" top="0.75" bottom="0.75" header="0.3" footer="0.3"/>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3"/>
  <dimension ref="A1:R54"/>
  <sheetViews>
    <sheetView zoomScalePageLayoutView="0" workbookViewId="0" topLeftCell="A1">
      <selection activeCell="F5" sqref="F5"/>
    </sheetView>
  </sheetViews>
  <sheetFormatPr defaultColWidth="9.140625" defaultRowHeight="15"/>
  <cols>
    <col min="1" max="1" width="4.00390625" style="0" customWidth="1"/>
    <col min="2" max="2" width="13.28125" style="0" customWidth="1"/>
    <col min="3" max="3" width="13.00390625" style="0" customWidth="1"/>
    <col min="4" max="4" width="3.8515625" style="0" customWidth="1"/>
    <col min="5" max="5" width="12.140625" style="0" customWidth="1"/>
    <col min="6" max="6" width="25.421875" style="0" customWidth="1"/>
    <col min="7" max="7" width="10.8515625" style="0" customWidth="1"/>
    <col min="8" max="8" width="14.421875" style="0" customWidth="1"/>
    <col min="9" max="9" width="10.8515625" style="0" customWidth="1"/>
    <col min="10" max="10" width="9.00390625" style="0" customWidth="1"/>
    <col min="11" max="11" width="10.7109375" style="0" customWidth="1"/>
    <col min="12" max="12" width="25.140625" style="0" customWidth="1"/>
    <col min="13" max="14" width="9.00390625" style="0" customWidth="1"/>
    <col min="15" max="15" width="11.140625" style="0" customWidth="1"/>
    <col min="16" max="16" width="9.00390625" style="0" customWidth="1"/>
    <col min="17" max="17" width="11.140625" style="0" customWidth="1"/>
    <col min="18" max="18" width="24.7109375" style="0" customWidth="1"/>
  </cols>
  <sheetData>
    <row r="1" ht="12.75">
      <c r="A1" t="s">
        <v>87</v>
      </c>
    </row>
    <row r="3" ht="12.75">
      <c r="A3" t="s">
        <v>88</v>
      </c>
    </row>
    <row r="5" spans="2:7" ht="12.75">
      <c r="B5" t="s">
        <v>89</v>
      </c>
      <c r="F5" s="83">
        <f>'加入者(1)'!F7</f>
        <v>0</v>
      </c>
      <c r="G5" t="s">
        <v>0</v>
      </c>
    </row>
    <row r="6" spans="2:10" ht="12.75">
      <c r="B6" t="s">
        <v>90</v>
      </c>
      <c r="F6" s="41" t="e">
        <f>'加入者(1)'!F8</f>
        <v>#N/A</v>
      </c>
      <c r="H6" t="s">
        <v>38</v>
      </c>
      <c r="J6" t="s">
        <v>40</v>
      </c>
    </row>
    <row r="7" spans="2:10" ht="12.75">
      <c r="B7" t="s">
        <v>91</v>
      </c>
      <c r="F7" s="41" t="str">
        <f>'加入者(1)'!F9</f>
        <v>1,000万円以下</v>
      </c>
      <c r="H7" t="s">
        <v>92</v>
      </c>
      <c r="J7" t="s">
        <v>93</v>
      </c>
    </row>
    <row r="8" ht="12.75">
      <c r="J8" t="s">
        <v>94</v>
      </c>
    </row>
    <row r="10" ht="12.75">
      <c r="B10" t="s">
        <v>95</v>
      </c>
    </row>
    <row r="11" spans="2:14" ht="12.75">
      <c r="B11" t="str">
        <f>J6</f>
        <v>1,000万円以下</v>
      </c>
      <c r="H11" t="str">
        <f>J7</f>
        <v>1,000万円超2,000万円以下</v>
      </c>
      <c r="N11" t="str">
        <f>J8</f>
        <v>2,000万円超</v>
      </c>
    </row>
    <row r="12" spans="2:18" ht="29.25" customHeight="1">
      <c r="B12" s="42" t="s">
        <v>96</v>
      </c>
      <c r="C12" s="247" t="s">
        <v>97</v>
      </c>
      <c r="D12" s="248"/>
      <c r="E12" s="249"/>
      <c r="F12" s="42" t="s">
        <v>98</v>
      </c>
      <c r="H12" s="42" t="s">
        <v>96</v>
      </c>
      <c r="I12" s="247" t="s">
        <v>97</v>
      </c>
      <c r="J12" s="248"/>
      <c r="K12" s="249"/>
      <c r="L12" s="42" t="s">
        <v>98</v>
      </c>
      <c r="N12" s="42" t="s">
        <v>96</v>
      </c>
      <c r="O12" s="247" t="s">
        <v>97</v>
      </c>
      <c r="P12" s="248"/>
      <c r="Q12" s="249"/>
      <c r="R12" s="42" t="s">
        <v>98</v>
      </c>
    </row>
    <row r="13" spans="2:18" ht="12.75">
      <c r="B13" s="250" t="s">
        <v>38</v>
      </c>
      <c r="C13" s="43">
        <v>1</v>
      </c>
      <c r="D13" s="44" t="s">
        <v>75</v>
      </c>
      <c r="E13" s="45">
        <v>3300000</v>
      </c>
      <c r="F13" s="42" t="s">
        <v>99</v>
      </c>
      <c r="H13" s="250" t="s">
        <v>38</v>
      </c>
      <c r="I13" s="43">
        <v>1</v>
      </c>
      <c r="J13" s="44" t="s">
        <v>75</v>
      </c>
      <c r="K13" s="45">
        <v>3300000</v>
      </c>
      <c r="L13" s="42" t="s">
        <v>100</v>
      </c>
      <c r="N13" s="250" t="s">
        <v>38</v>
      </c>
      <c r="O13" s="43">
        <v>1</v>
      </c>
      <c r="P13" s="44" t="s">
        <v>75</v>
      </c>
      <c r="Q13" s="45">
        <v>3300000</v>
      </c>
      <c r="R13" s="42" t="s">
        <v>101</v>
      </c>
    </row>
    <row r="14" spans="2:18" ht="12.75">
      <c r="B14" s="251"/>
      <c r="C14" s="43">
        <v>3300001</v>
      </c>
      <c r="D14" s="44" t="s">
        <v>102</v>
      </c>
      <c r="E14" s="45">
        <v>4100000</v>
      </c>
      <c r="F14" s="42" t="s">
        <v>103</v>
      </c>
      <c r="H14" s="251"/>
      <c r="I14" s="43">
        <v>3300001</v>
      </c>
      <c r="J14" s="44" t="s">
        <v>104</v>
      </c>
      <c r="K14" s="45">
        <v>4100000</v>
      </c>
      <c r="L14" s="42" t="s">
        <v>105</v>
      </c>
      <c r="N14" s="251"/>
      <c r="O14" s="43">
        <v>3300001</v>
      </c>
      <c r="P14" s="44" t="s">
        <v>106</v>
      </c>
      <c r="Q14" s="45">
        <v>4100000</v>
      </c>
      <c r="R14" s="42" t="s">
        <v>107</v>
      </c>
    </row>
    <row r="15" spans="2:18" ht="12.75">
      <c r="B15" s="251"/>
      <c r="C15" s="43">
        <v>4100001</v>
      </c>
      <c r="D15" s="44" t="s">
        <v>106</v>
      </c>
      <c r="E15" s="45">
        <v>7700000</v>
      </c>
      <c r="F15" s="42" t="s">
        <v>108</v>
      </c>
      <c r="H15" s="251"/>
      <c r="I15" s="43">
        <v>4100001</v>
      </c>
      <c r="J15" s="44" t="s">
        <v>109</v>
      </c>
      <c r="K15" s="45">
        <v>7700000</v>
      </c>
      <c r="L15" s="42" t="s">
        <v>110</v>
      </c>
      <c r="N15" s="251"/>
      <c r="O15" s="43">
        <v>4100001</v>
      </c>
      <c r="P15" s="44" t="s">
        <v>102</v>
      </c>
      <c r="Q15" s="45">
        <v>7700000</v>
      </c>
      <c r="R15" s="42" t="s">
        <v>111</v>
      </c>
    </row>
    <row r="16" spans="2:18" ht="12.75">
      <c r="B16" s="251"/>
      <c r="C16" s="43">
        <v>7700001</v>
      </c>
      <c r="D16" s="44" t="s">
        <v>109</v>
      </c>
      <c r="E16" s="45">
        <v>10000000</v>
      </c>
      <c r="F16" s="42" t="s">
        <v>112</v>
      </c>
      <c r="H16" s="251"/>
      <c r="I16" s="43">
        <v>7700001</v>
      </c>
      <c r="J16" s="44" t="s">
        <v>113</v>
      </c>
      <c r="K16" s="45">
        <v>10000000</v>
      </c>
      <c r="L16" s="42" t="s">
        <v>114</v>
      </c>
      <c r="N16" s="251"/>
      <c r="O16" s="43">
        <v>7700001</v>
      </c>
      <c r="P16" s="44" t="s">
        <v>106</v>
      </c>
      <c r="Q16" s="45">
        <v>10000000</v>
      </c>
      <c r="R16" s="42" t="s">
        <v>115</v>
      </c>
    </row>
    <row r="17" spans="2:18" ht="12.75">
      <c r="B17" s="252"/>
      <c r="C17" s="43">
        <v>10000001</v>
      </c>
      <c r="D17" s="44" t="s">
        <v>106</v>
      </c>
      <c r="E17" s="45"/>
      <c r="F17" s="42" t="s">
        <v>116</v>
      </c>
      <c r="H17" s="252"/>
      <c r="I17" s="43">
        <v>10000001</v>
      </c>
      <c r="J17" s="44" t="s">
        <v>117</v>
      </c>
      <c r="K17" s="45"/>
      <c r="L17" s="42" t="s">
        <v>118</v>
      </c>
      <c r="N17" s="252"/>
      <c r="O17" s="43">
        <v>10000001</v>
      </c>
      <c r="P17" s="44" t="s">
        <v>119</v>
      </c>
      <c r="Q17" s="45"/>
      <c r="R17" s="42" t="s">
        <v>120</v>
      </c>
    </row>
    <row r="18" spans="2:18" ht="12.75">
      <c r="B18" s="253" t="s">
        <v>92</v>
      </c>
      <c r="C18" s="43">
        <v>1</v>
      </c>
      <c r="D18" s="44" t="s">
        <v>102</v>
      </c>
      <c r="E18" s="45">
        <v>1300000</v>
      </c>
      <c r="F18" s="42" t="s">
        <v>121</v>
      </c>
      <c r="H18" s="253" t="s">
        <v>92</v>
      </c>
      <c r="I18" s="43">
        <v>1</v>
      </c>
      <c r="J18" s="44" t="s">
        <v>122</v>
      </c>
      <c r="K18" s="45">
        <v>1300000</v>
      </c>
      <c r="L18" s="42" t="s">
        <v>123</v>
      </c>
      <c r="N18" s="253" t="s">
        <v>92</v>
      </c>
      <c r="O18" s="43">
        <v>1</v>
      </c>
      <c r="P18" s="44" t="s">
        <v>113</v>
      </c>
      <c r="Q18" s="45">
        <v>1300000</v>
      </c>
      <c r="R18" s="42" t="s">
        <v>124</v>
      </c>
    </row>
    <row r="19" spans="2:18" ht="12.75">
      <c r="B19" s="254"/>
      <c r="C19" s="43">
        <v>1300001</v>
      </c>
      <c r="D19" s="44" t="s">
        <v>113</v>
      </c>
      <c r="E19" s="45">
        <v>4100000</v>
      </c>
      <c r="F19" s="42" t="s">
        <v>125</v>
      </c>
      <c r="H19" s="254"/>
      <c r="I19" s="43">
        <v>1300001</v>
      </c>
      <c r="J19" s="44" t="s">
        <v>113</v>
      </c>
      <c r="K19" s="45">
        <v>4100000</v>
      </c>
      <c r="L19" s="42" t="s">
        <v>126</v>
      </c>
      <c r="N19" s="254"/>
      <c r="O19" s="43">
        <v>1300001</v>
      </c>
      <c r="P19" s="44" t="s">
        <v>127</v>
      </c>
      <c r="Q19" s="45">
        <v>4100000</v>
      </c>
      <c r="R19" s="42" t="s">
        <v>107</v>
      </c>
    </row>
    <row r="20" spans="2:18" ht="12.75">
      <c r="B20" s="254"/>
      <c r="C20" s="43">
        <v>4100001</v>
      </c>
      <c r="D20" s="44" t="s">
        <v>60</v>
      </c>
      <c r="E20" s="45">
        <v>7700000</v>
      </c>
      <c r="F20" s="42" t="s">
        <v>128</v>
      </c>
      <c r="H20" s="254"/>
      <c r="I20" s="43">
        <v>4100001</v>
      </c>
      <c r="J20" s="44" t="s">
        <v>60</v>
      </c>
      <c r="K20" s="45">
        <v>7700000</v>
      </c>
      <c r="L20" s="42" t="s">
        <v>129</v>
      </c>
      <c r="N20" s="254"/>
      <c r="O20" s="43">
        <v>4100001</v>
      </c>
      <c r="P20" s="44" t="s">
        <v>60</v>
      </c>
      <c r="Q20" s="45">
        <v>7700000</v>
      </c>
      <c r="R20" s="42" t="s">
        <v>111</v>
      </c>
    </row>
    <row r="21" spans="2:18" ht="12.75">
      <c r="B21" s="254"/>
      <c r="C21" s="43">
        <v>7700001</v>
      </c>
      <c r="D21" s="44" t="s">
        <v>60</v>
      </c>
      <c r="E21" s="45">
        <v>10000000</v>
      </c>
      <c r="F21" s="42" t="s">
        <v>130</v>
      </c>
      <c r="H21" s="254"/>
      <c r="I21" s="43">
        <v>7700001</v>
      </c>
      <c r="J21" s="44" t="s">
        <v>60</v>
      </c>
      <c r="K21" s="45">
        <v>10000000</v>
      </c>
      <c r="L21" s="42" t="s">
        <v>131</v>
      </c>
      <c r="N21" s="254"/>
      <c r="O21" s="43">
        <v>7700001</v>
      </c>
      <c r="P21" s="44" t="s">
        <v>60</v>
      </c>
      <c r="Q21" s="45">
        <v>10000000</v>
      </c>
      <c r="R21" s="42" t="s">
        <v>132</v>
      </c>
    </row>
    <row r="22" spans="2:18" ht="12.75">
      <c r="B22" s="255"/>
      <c r="C22" s="43">
        <v>10000001</v>
      </c>
      <c r="D22" s="44" t="s">
        <v>102</v>
      </c>
      <c r="E22" s="45"/>
      <c r="F22" s="42" t="s">
        <v>116</v>
      </c>
      <c r="H22" s="255"/>
      <c r="I22" s="43">
        <v>10000001</v>
      </c>
      <c r="J22" s="44" t="s">
        <v>102</v>
      </c>
      <c r="K22" s="45"/>
      <c r="L22" s="42" t="s">
        <v>118</v>
      </c>
      <c r="N22" s="255"/>
      <c r="O22" s="43">
        <v>10000001</v>
      </c>
      <c r="P22" s="44" t="s">
        <v>133</v>
      </c>
      <c r="Q22" s="45"/>
      <c r="R22" s="42" t="s">
        <v>120</v>
      </c>
    </row>
    <row r="24" ht="12.75">
      <c r="B24" t="s">
        <v>134</v>
      </c>
    </row>
    <row r="25" ht="12.75">
      <c r="B25" t="s">
        <v>135</v>
      </c>
    </row>
    <row r="26" ht="12.75">
      <c r="B26" t="s">
        <v>136</v>
      </c>
    </row>
    <row r="28" ht="12.75">
      <c r="B28" t="s">
        <v>137</v>
      </c>
    </row>
    <row r="30" spans="3:8" ht="12.75">
      <c r="C30" t="str">
        <f>J6</f>
        <v>1,000万円以下</v>
      </c>
      <c r="F30" t="str">
        <f>J7</f>
        <v>1,000万円超2,000万円以下</v>
      </c>
      <c r="H30" t="str">
        <f>J8</f>
        <v>2,000万円超</v>
      </c>
    </row>
    <row r="31" spans="2:8" ht="12.75">
      <c r="B31" t="s">
        <v>38</v>
      </c>
      <c r="C31" t="e">
        <f>IF(AND($F$6=$H$6,$F$7=$J$6,$F$5&gt;=C13,$F$5&lt;=E13),1100000,0)</f>
        <v>#N/A</v>
      </c>
      <c r="F31" t="e">
        <f>IF(AND($F$6=$H$6,$F$7=$J$7,$F$5&gt;=I13,$F$5&lt;=K13),1000000,0)</f>
        <v>#N/A</v>
      </c>
      <c r="H31" t="e">
        <f>IF(AND($F$6=$H$6,$F$7=$J$8,$F$5&gt;=O13,$F$5&lt;=Q13),900000,0)</f>
        <v>#N/A</v>
      </c>
    </row>
    <row r="32" spans="3:8" ht="12.75">
      <c r="C32" t="e">
        <f>IF(AND($F$6=$H$6,$F$7=$J$6,$F$5&gt;=C14,$F$5&lt;=E14),ROUNDUP($F$5*0.25+275000,0),0)</f>
        <v>#N/A</v>
      </c>
      <c r="F32" t="e">
        <f>IF(AND($F$6=$H$6,$F$7=$J$7,$F$5&gt;=I14,$F$5&lt;=K14),ROUNDUP($F$5*0.25+175000,0),0)</f>
        <v>#N/A</v>
      </c>
      <c r="H32" t="e">
        <f>IF(AND($F$6=$H$6,$F$7=$J$8,$F$5&gt;=O14,$F$5&lt;=Q14),ROUNDUP($F$5*0.25+75000,0),0)</f>
        <v>#N/A</v>
      </c>
    </row>
    <row r="33" spans="3:8" ht="12.75">
      <c r="C33" t="e">
        <f>IF(AND($F$6=$H$6,$F$7=$J$6,$F$5&gt;=C15,$F$5&lt;=E15),ROUNDUP($F$5*0.15+685000,0),0)</f>
        <v>#N/A</v>
      </c>
      <c r="F33" t="e">
        <f>IF(AND($F$6=$H$6,$F$7=$J$7,$F$5&gt;=I15,$F$5&lt;=K15),ROUNDUP($F$5*0.15+585000,0),0)</f>
        <v>#N/A</v>
      </c>
      <c r="H33" t="e">
        <f>IF(AND($F$6=$H$6,$F$7=$J$8,$F$5&gt;=O15,$F$5&lt;=Q15),ROUNDUP($F$5*0.15+485000,0),0)</f>
        <v>#N/A</v>
      </c>
    </row>
    <row r="34" spans="3:8" ht="12.75">
      <c r="C34" t="e">
        <f>IF(AND($F$6=$H$6,$F$7=$J$6,$F$5&gt;=C16,$F$5&lt;=E16),ROUNDUP($F$5*0.05+1455000,0),0)</f>
        <v>#N/A</v>
      </c>
      <c r="F34" t="e">
        <f>IF(AND($F$6=$H$6,$F$7=$J$7,$F$5&gt;=I16,$F$5&lt;=K16),ROUNDUP($F$5*0.05+1355000,0),0)</f>
        <v>#N/A</v>
      </c>
      <c r="H34" t="e">
        <f>IF(AND($F$6=$H$6,$F$7=$J$8,$F$5&gt;=O16,$F$5&lt;=Q16),ROUNDUP($F$5*0.05+1255000,0),0)</f>
        <v>#N/A</v>
      </c>
    </row>
    <row r="35" spans="3:8" ht="12.75">
      <c r="C35" t="e">
        <f>IF(AND($F$6=$H$6,$F$7=$J$6,$F$5&gt;=C17),1955000,0)</f>
        <v>#N/A</v>
      </c>
      <c r="F35" t="e">
        <f>IF(AND($F$6=$H$6,$F$7=$J$7,$F$5&gt;=I17),1855000,0)</f>
        <v>#N/A</v>
      </c>
      <c r="H35" t="e">
        <f>IF(AND($F$6=$H$6,$F$7=$J$8,$F$5&gt;=O17),1755000,0)</f>
        <v>#N/A</v>
      </c>
    </row>
    <row r="36" spans="2:8" ht="12.75">
      <c r="B36" t="s">
        <v>92</v>
      </c>
      <c r="C36" t="e">
        <f>IF(AND($F$6=$H$7,$F$7=$J$6,$F$5&gt;=C18,$F$5&lt;=E18),600000,0)</f>
        <v>#N/A</v>
      </c>
      <c r="F36" t="e">
        <f>IF(AND($F$6=$H$7,$F$7=$J$7,$F$5&gt;=I18,$F$5&lt;=K18),500000,0)</f>
        <v>#N/A</v>
      </c>
      <c r="H36" t="e">
        <f>IF(AND($F$6=$H$7,$F$7=$J$8,$F$5&gt;=O18,$F$5&lt;=Q18),400000,0)</f>
        <v>#N/A</v>
      </c>
    </row>
    <row r="37" spans="3:8" ht="12.75">
      <c r="C37" t="e">
        <f>IF(AND($F$6=$H$7,$F$7=$J$6,$F$5&gt;=C19,$F$5&lt;=E19),ROUNDUP($F$5*0.25+275000,0),0)</f>
        <v>#N/A</v>
      </c>
      <c r="F37" t="e">
        <f>IF(AND($F$6=$H$7,$F$7=$J$7,$F$5&gt;=I19,$F$5&lt;=K19),ROUNDUP($F$5*0.25+175000,0),0)</f>
        <v>#N/A</v>
      </c>
      <c r="H37" t="e">
        <f>IF(AND($F$6=$H$7,$F$7=$J$8,$F$5&gt;=O19,$F$5&lt;=Q19),ROUNDUP($F$5*0.25+75000,0),0)</f>
        <v>#N/A</v>
      </c>
    </row>
    <row r="38" spans="3:8" ht="12.75">
      <c r="C38" t="e">
        <f>IF(AND($F$6=$H$7,$F$7=$J$6,$F$5&gt;=C20,$F$5&lt;=E20),ROUNDUP($F$5*0.15+685000,0),0)</f>
        <v>#N/A</v>
      </c>
      <c r="F38" t="e">
        <f>IF(AND($F$6=$H$7,$F$7=$J$7,$F$5&gt;=I20,$F$5&lt;=K20),ROUNDUP($F$5*0.15+585000,0),0)</f>
        <v>#N/A</v>
      </c>
      <c r="H38" t="e">
        <f>IF(AND($F$6=$H$7,$F$7=$J$8,$F$5&gt;=O20,$F$5&lt;=Q20),ROUNDUP($F$5*0.15+485000,0),0)</f>
        <v>#N/A</v>
      </c>
    </row>
    <row r="39" spans="3:8" ht="12.75">
      <c r="C39" t="e">
        <f>IF(AND($F$6=$H$7,$F$7=$J$6,$F$5&gt;=C21,$F$5&lt;=E21),ROUNDUP($F$5*0.05+1455000,0),0)</f>
        <v>#N/A</v>
      </c>
      <c r="F39" t="e">
        <f>IF(AND($F$6=$H$7,$F$7=$J$7,$F$5&gt;=I21,$F$5&lt;=K21),ROUNDUP($F$5*0.05+1355000,0),0)</f>
        <v>#N/A</v>
      </c>
      <c r="H39" t="e">
        <f>IF(AND($F$6=$H$7,$F$7=$J$8,$F$5&gt;=O21,$F$5&lt;=Q21),ROUNDUP($F$5*0.05+1255000,0),0)</f>
        <v>#N/A</v>
      </c>
    </row>
    <row r="40" spans="3:8" ht="12.75">
      <c r="C40" t="e">
        <f>IF(AND($F$6=$H$7,$F$7=$J$6,$F$5&gt;=C22),1955000,0)</f>
        <v>#N/A</v>
      </c>
      <c r="F40" t="e">
        <f>IF(AND($F$6=$H$7,$F$7=$J$7,$F$5&gt;=I22),1855000,0)</f>
        <v>#N/A</v>
      </c>
      <c r="H40" t="e">
        <f>IF(AND($F$6=$H$7,$F$7=$J$8,$F$5&gt;=O22),1755000,0)</f>
        <v>#N/A</v>
      </c>
    </row>
    <row r="42" spans="2:10" ht="12.75">
      <c r="B42" t="s">
        <v>138</v>
      </c>
      <c r="C42" t="e">
        <f>SUM(C31:C41)</f>
        <v>#N/A</v>
      </c>
      <c r="F42" t="e">
        <f>SUM(F31:F41)</f>
        <v>#N/A</v>
      </c>
      <c r="H42" t="e">
        <f>SUM(H31:H41)</f>
        <v>#N/A</v>
      </c>
      <c r="J42" t="e">
        <f>SUM(C42:H42)</f>
        <v>#N/A</v>
      </c>
    </row>
    <row r="43" spans="2:6" ht="39">
      <c r="B43" s="46" t="s">
        <v>139</v>
      </c>
      <c r="C43" t="e">
        <f>MAX($F$5-J42,0)</f>
        <v>#N/A</v>
      </c>
      <c r="E43">
        <v>100000</v>
      </c>
      <c r="F43" t="s">
        <v>84</v>
      </c>
    </row>
    <row r="47" ht="12.75">
      <c r="A47" t="s">
        <v>140</v>
      </c>
    </row>
    <row r="49" spans="2:3" ht="12.75">
      <c r="B49" t="e">
        <f>'加入者(1)'!F19+'加入者(1)'!F20-100000</f>
        <v>#N/A</v>
      </c>
      <c r="C49" t="s">
        <v>0</v>
      </c>
    </row>
    <row r="51" spans="2:8" ht="12.75">
      <c r="B51" t="s">
        <v>148</v>
      </c>
      <c r="C51" t="s">
        <v>149</v>
      </c>
      <c r="E51" t="s">
        <v>150</v>
      </c>
      <c r="F51" t="s">
        <v>151</v>
      </c>
      <c r="G51" t="s">
        <v>158</v>
      </c>
      <c r="H51" t="s">
        <v>159</v>
      </c>
    </row>
    <row r="52" spans="2:9" ht="12.75">
      <c r="B52" t="s">
        <v>145</v>
      </c>
      <c r="C52" t="s">
        <v>92</v>
      </c>
      <c r="E52" s="85">
        <f>'計算シート１'!J10</f>
        <v>0</v>
      </c>
      <c r="F52" s="86">
        <f>'HP用'!G18</f>
        <v>0</v>
      </c>
      <c r="G52" s="35">
        <f>E52+F52</f>
        <v>0</v>
      </c>
      <c r="H52">
        <v>10000000</v>
      </c>
      <c r="I52" t="s">
        <v>40</v>
      </c>
    </row>
    <row r="53" spans="2:9" ht="12.75">
      <c r="B53" t="s">
        <v>146</v>
      </c>
      <c r="C53" t="s">
        <v>92</v>
      </c>
      <c r="H53">
        <v>10000001</v>
      </c>
      <c r="I53" t="s">
        <v>93</v>
      </c>
    </row>
    <row r="54" spans="2:9" ht="12.75">
      <c r="B54" t="s">
        <v>147</v>
      </c>
      <c r="C54" t="s">
        <v>38</v>
      </c>
      <c r="H54">
        <v>20000001</v>
      </c>
      <c r="I54" t="s">
        <v>94</v>
      </c>
    </row>
  </sheetData>
  <sheetProtection/>
  <mergeCells count="9">
    <mergeCell ref="O12:Q12"/>
    <mergeCell ref="B13:B17"/>
    <mergeCell ref="H13:H17"/>
    <mergeCell ref="N13:N17"/>
    <mergeCell ref="B18:B22"/>
    <mergeCell ref="H18:H22"/>
    <mergeCell ref="N18:N22"/>
    <mergeCell ref="C12:E12"/>
    <mergeCell ref="I12:K12"/>
  </mergeCells>
  <printOptions/>
  <pageMargins left="0.7" right="0.7" top="0.75" bottom="0.75" header="0.3" footer="0.3"/>
  <pageSetup horizontalDpi="600" verticalDpi="600" orientation="portrait" paperSize="9" scale="39" r:id="rId1"/>
</worksheet>
</file>

<file path=xl/worksheets/sheet6.xml><?xml version="1.0" encoding="utf-8"?>
<worksheet xmlns="http://schemas.openxmlformats.org/spreadsheetml/2006/main" xmlns:r="http://schemas.openxmlformats.org/officeDocument/2006/relationships">
  <sheetPr codeName="Sheet4">
    <tabColor rgb="FFFFFF00"/>
  </sheetPr>
  <dimension ref="A1:G26"/>
  <sheetViews>
    <sheetView view="pageBreakPreview" zoomScaleSheetLayoutView="100" zoomScalePageLayoutView="0" workbookViewId="0" topLeftCell="A22">
      <selection activeCell="F7" sqref="F7"/>
    </sheetView>
  </sheetViews>
  <sheetFormatPr defaultColWidth="9.140625" defaultRowHeight="15"/>
  <cols>
    <col min="1" max="1" width="3.7109375" style="0" customWidth="1"/>
    <col min="3" max="3" width="11.8515625" style="0" customWidth="1"/>
    <col min="4" max="4" width="11.28125" style="0" customWidth="1"/>
    <col min="5" max="5" width="14.8515625" style="0" customWidth="1"/>
    <col min="6" max="6" width="31.140625" style="0" customWidth="1"/>
    <col min="7" max="7" width="7.140625" style="0" customWidth="1"/>
  </cols>
  <sheetData>
    <row r="1" spans="1:7" ht="29.25" customHeight="1">
      <c r="A1" s="47" t="s">
        <v>34</v>
      </c>
      <c r="B1" s="48"/>
      <c r="C1" s="48"/>
      <c r="D1" s="48"/>
      <c r="E1" s="48"/>
      <c r="F1" s="48"/>
      <c r="G1" s="48"/>
    </row>
    <row r="2" spans="1:7" ht="4.5" customHeight="1">
      <c r="A2" s="47"/>
      <c r="B2" s="48"/>
      <c r="C2" s="48"/>
      <c r="D2" s="48"/>
      <c r="E2" s="48"/>
      <c r="F2" s="48"/>
      <c r="G2" s="48"/>
    </row>
    <row r="3" spans="1:7" ht="21" customHeight="1">
      <c r="A3" s="48"/>
      <c r="B3" s="48" t="s">
        <v>154</v>
      </c>
      <c r="C3" s="48"/>
      <c r="D3" s="48"/>
      <c r="E3" s="240" t="s">
        <v>155</v>
      </c>
      <c r="F3" s="240"/>
      <c r="G3" s="48"/>
    </row>
    <row r="4" spans="1:7" ht="21" customHeight="1">
      <c r="A4" s="48"/>
      <c r="B4" s="48" t="s">
        <v>153</v>
      </c>
      <c r="C4" s="48"/>
      <c r="D4" s="48"/>
      <c r="E4" s="49"/>
      <c r="F4" s="48"/>
      <c r="G4" s="48"/>
    </row>
    <row r="5" spans="1:7" ht="19.5" customHeight="1">
      <c r="A5" s="50" t="s">
        <v>157</v>
      </c>
      <c r="B5" s="48"/>
      <c r="C5" s="48"/>
      <c r="D5" s="48"/>
      <c r="E5" s="48"/>
      <c r="F5" s="48"/>
      <c r="G5" s="48"/>
    </row>
    <row r="6" spans="1:7" ht="28.5" customHeight="1">
      <c r="A6" s="48"/>
      <c r="B6" s="51" t="s">
        <v>35</v>
      </c>
      <c r="C6" s="52"/>
      <c r="D6" s="52"/>
      <c r="E6" s="52"/>
      <c r="F6" s="53">
        <f>'HP用'!E19</f>
        <v>0</v>
      </c>
      <c r="G6" s="54" t="s">
        <v>0</v>
      </c>
    </row>
    <row r="7" spans="1:7" ht="28.5" customHeight="1">
      <c r="A7" s="48"/>
      <c r="B7" s="51" t="s">
        <v>36</v>
      </c>
      <c r="C7" s="52"/>
      <c r="D7" s="52"/>
      <c r="E7" s="52"/>
      <c r="F7" s="53">
        <f>'HP用'!F19</f>
        <v>0</v>
      </c>
      <c r="G7" s="54" t="s">
        <v>0</v>
      </c>
    </row>
    <row r="8" spans="1:7" ht="28.5" customHeight="1">
      <c r="A8" s="48"/>
      <c r="B8" s="55" t="s">
        <v>37</v>
      </c>
      <c r="C8" s="56"/>
      <c r="D8" s="56"/>
      <c r="E8" s="56"/>
      <c r="F8" s="241" t="e">
        <f>VLOOKUP('HP用'!D19,'計算シート22'!$B$52:$C$54,2,1)</f>
        <v>#N/A</v>
      </c>
      <c r="G8" s="242"/>
    </row>
    <row r="9" spans="1:7" ht="28.5" customHeight="1">
      <c r="A9" s="48"/>
      <c r="B9" s="243" t="s">
        <v>39</v>
      </c>
      <c r="C9" s="243"/>
      <c r="D9" s="243"/>
      <c r="E9" s="243"/>
      <c r="F9" s="244" t="str">
        <f>_xlfn.IFERROR(VLOOKUP('計算シート22'!G52,'計算シート22'!$H$52:$I$54,2,1),"1,000万円以下")</f>
        <v>1,000万円以下</v>
      </c>
      <c r="G9" s="244"/>
    </row>
    <row r="10" spans="1:7" ht="4.5" customHeight="1">
      <c r="A10" s="48"/>
      <c r="B10" s="48"/>
      <c r="C10" s="48"/>
      <c r="D10" s="48"/>
      <c r="E10" s="48"/>
      <c r="F10" s="48"/>
      <c r="G10" s="48"/>
    </row>
    <row r="11" spans="1:7" ht="19.5" customHeight="1">
      <c r="A11" s="50"/>
      <c r="B11" s="57" t="s">
        <v>41</v>
      </c>
      <c r="C11" s="48"/>
      <c r="D11" s="48"/>
      <c r="E11" s="48"/>
      <c r="F11" s="48"/>
      <c r="G11" s="48"/>
    </row>
    <row r="12" spans="1:7" ht="19.5" customHeight="1">
      <c r="A12" s="50"/>
      <c r="B12" s="57"/>
      <c r="C12" s="48"/>
      <c r="D12" s="48"/>
      <c r="E12" s="48"/>
      <c r="F12" s="48"/>
      <c r="G12" s="48"/>
    </row>
    <row r="13" spans="1:7" ht="19.5" customHeight="1">
      <c r="A13" s="50" t="s">
        <v>156</v>
      </c>
      <c r="B13" s="57"/>
      <c r="C13" s="48"/>
      <c r="D13" s="48"/>
      <c r="E13" s="48"/>
      <c r="F13" s="48"/>
      <c r="G13" s="48"/>
    </row>
    <row r="14" spans="1:7" ht="90" customHeight="1">
      <c r="A14" s="50"/>
      <c r="B14" s="235" t="s">
        <v>142</v>
      </c>
      <c r="C14" s="236"/>
      <c r="D14" s="236"/>
      <c r="E14" s="237"/>
      <c r="F14" s="238">
        <f>_xlfn.IFERROR('HP用'!C19,"非該当")</f>
        <v>0</v>
      </c>
      <c r="G14" s="239"/>
    </row>
    <row r="15" spans="1:7" ht="28.5" customHeight="1">
      <c r="A15" s="50"/>
      <c r="B15" s="232" t="s">
        <v>42</v>
      </c>
      <c r="C15" s="233"/>
      <c r="D15" s="233"/>
      <c r="E15" s="234"/>
      <c r="F15" s="58" t="str">
        <f>'計算シート12'!I12</f>
        <v>0</v>
      </c>
      <c r="G15" s="59" t="s">
        <v>0</v>
      </c>
    </row>
    <row r="16" spans="1:7" ht="19.5" customHeight="1">
      <c r="A16" s="48"/>
      <c r="B16" s="48"/>
      <c r="C16" s="48"/>
      <c r="D16" s="48"/>
      <c r="E16" s="48"/>
      <c r="F16" s="48"/>
      <c r="G16" s="48"/>
    </row>
    <row r="17" spans="1:7" ht="19.5" customHeight="1">
      <c r="A17" s="50" t="s">
        <v>43</v>
      </c>
      <c r="B17" s="48"/>
      <c r="C17" s="48"/>
      <c r="D17" s="48"/>
      <c r="E17" s="48"/>
      <c r="F17" s="48"/>
      <c r="G17" s="48"/>
    </row>
    <row r="18" spans="1:7" ht="10.5" customHeight="1">
      <c r="A18" s="48"/>
      <c r="B18" s="48"/>
      <c r="C18" s="48"/>
      <c r="D18" s="48"/>
      <c r="E18" s="48"/>
      <c r="F18" s="48"/>
      <c r="G18" s="48"/>
    </row>
    <row r="19" spans="1:7" ht="28.5" customHeight="1">
      <c r="A19" s="48"/>
      <c r="B19" s="51" t="s">
        <v>44</v>
      </c>
      <c r="C19" s="52"/>
      <c r="D19" s="52"/>
      <c r="E19" s="52"/>
      <c r="F19" s="60">
        <f>IF('計算シート12'!C34&lt;=100000,'計算シート12'!C34,'計算シート12'!E34)</f>
        <v>0</v>
      </c>
      <c r="G19" s="54" t="s">
        <v>0</v>
      </c>
    </row>
    <row r="20" spans="1:7" ht="28.5" customHeight="1" thickBot="1">
      <c r="A20" s="48"/>
      <c r="B20" s="51" t="s">
        <v>45</v>
      </c>
      <c r="C20" s="52"/>
      <c r="D20" s="52"/>
      <c r="E20" s="52"/>
      <c r="F20" s="60" t="e">
        <f>IF('計算シート22'!C43&lt;=100000,'計算シート22'!C43,'計算シート22'!E43)</f>
        <v>#N/A</v>
      </c>
      <c r="G20" s="54" t="s">
        <v>0</v>
      </c>
    </row>
    <row r="21" spans="1:7" ht="28.5" customHeight="1" thickTop="1">
      <c r="A21" s="48"/>
      <c r="B21" s="61" t="s">
        <v>46</v>
      </c>
      <c r="C21" s="62"/>
      <c r="D21" s="62"/>
      <c r="E21" s="62"/>
      <c r="F21" s="63" t="e">
        <f>IF('計算シート22'!B49&gt;=0,'計算シート22'!B49,0)</f>
        <v>#N/A</v>
      </c>
      <c r="G21" s="64" t="s">
        <v>0</v>
      </c>
    </row>
    <row r="22" spans="1:7" ht="12.75">
      <c r="A22" s="48"/>
      <c r="B22" s="48"/>
      <c r="C22" s="48"/>
      <c r="D22" s="48"/>
      <c r="E22" s="48"/>
      <c r="F22" s="48"/>
      <c r="G22" s="48"/>
    </row>
    <row r="23" spans="1:7" ht="19.5" customHeight="1">
      <c r="A23" s="50" t="s">
        <v>47</v>
      </c>
      <c r="B23" s="48"/>
      <c r="C23" s="48"/>
      <c r="D23" s="48"/>
      <c r="E23" s="48"/>
      <c r="F23" s="48"/>
      <c r="G23" s="48"/>
    </row>
    <row r="24" spans="1:7" ht="28.5" customHeight="1">
      <c r="A24" s="48"/>
      <c r="B24" s="55" t="s">
        <v>48</v>
      </c>
      <c r="C24" s="56"/>
      <c r="D24" s="56"/>
      <c r="E24" s="65"/>
      <c r="F24" s="80" t="str">
        <f>_xlfn.IFERROR('計算シート12'!C34-('加入者(2)'!F15+'加入者(2)'!F21),"0")</f>
        <v>0</v>
      </c>
      <c r="G24" s="65" t="s">
        <v>0</v>
      </c>
    </row>
    <row r="25" spans="1:7" ht="28.5" customHeight="1" thickBot="1">
      <c r="A25" s="48"/>
      <c r="B25" s="66" t="s">
        <v>49</v>
      </c>
      <c r="C25" s="67"/>
      <c r="D25" s="67"/>
      <c r="E25" s="68"/>
      <c r="F25" s="79" t="str">
        <f>_xlfn.IFERROR('計算シート22'!C43,"0")</f>
        <v>0</v>
      </c>
      <c r="G25" s="68" t="s">
        <v>0</v>
      </c>
    </row>
    <row r="26" spans="1:7" ht="28.5" customHeight="1" thickTop="1">
      <c r="A26" s="48"/>
      <c r="B26" s="69" t="s">
        <v>50</v>
      </c>
      <c r="C26" s="70"/>
      <c r="D26" s="70"/>
      <c r="E26" s="71"/>
      <c r="F26" s="72">
        <f>F24+F25</f>
        <v>0</v>
      </c>
      <c r="G26" s="71" t="s">
        <v>0</v>
      </c>
    </row>
  </sheetData>
  <sheetProtection/>
  <mergeCells count="7">
    <mergeCell ref="B15:E15"/>
    <mergeCell ref="E3:F3"/>
    <mergeCell ref="F8:G8"/>
    <mergeCell ref="B9:E9"/>
    <mergeCell ref="F9:G9"/>
    <mergeCell ref="B14:E14"/>
    <mergeCell ref="F14:G14"/>
  </mergeCells>
  <printOptions/>
  <pageMargins left="0.7" right="0.48" top="0.73" bottom="0.47" header="0.3" footer="0.3"/>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sheetPr codeName="Sheet5"/>
  <dimension ref="A1:L41"/>
  <sheetViews>
    <sheetView zoomScalePageLayoutView="0" workbookViewId="0" topLeftCell="A4">
      <selection activeCell="I12" sqref="I12"/>
    </sheetView>
  </sheetViews>
  <sheetFormatPr defaultColWidth="9.140625" defaultRowHeight="15"/>
  <cols>
    <col min="1" max="1" width="12.140625" style="0" customWidth="1"/>
    <col min="2" max="2" width="4.8515625" style="0" customWidth="1"/>
    <col min="3" max="3" width="14.7109375" style="0" customWidth="1"/>
    <col min="4" max="4" width="12.8515625" style="0" customWidth="1"/>
    <col min="5" max="5" width="16.28125" style="0" customWidth="1"/>
    <col min="6" max="7" width="14.7109375" style="0" customWidth="1"/>
    <col min="8" max="8" width="4.421875" style="0" customWidth="1"/>
    <col min="9" max="9" width="25.00390625" style="34" customWidth="1"/>
    <col min="10" max="10" width="25.00390625" style="0" customWidth="1"/>
    <col min="11" max="13" width="14.7109375" style="0" customWidth="1"/>
    <col min="14" max="18" width="9.00390625" style="0" customWidth="1"/>
  </cols>
  <sheetData>
    <row r="1" ht="12.75">
      <c r="A1" t="s">
        <v>51</v>
      </c>
    </row>
    <row r="3" spans="1:12" ht="12.75">
      <c r="A3" t="s">
        <v>52</v>
      </c>
      <c r="I3" s="245" t="s">
        <v>53</v>
      </c>
      <c r="J3" s="245"/>
      <c r="K3" s="245"/>
      <c r="L3" s="245"/>
    </row>
    <row r="4" spans="9:12" ht="12.75">
      <c r="I4" s="245" t="s">
        <v>54</v>
      </c>
      <c r="J4" s="245"/>
      <c r="K4" s="245"/>
      <c r="L4" s="245"/>
    </row>
    <row r="5" spans="1:12" ht="12.75">
      <c r="A5" t="s">
        <v>35</v>
      </c>
      <c r="E5" s="83">
        <f>IF('加入者(2)'!F6="","",'加入者(2)'!F6)</f>
        <v>0</v>
      </c>
      <c r="F5" t="s">
        <v>0</v>
      </c>
      <c r="I5" s="245" t="s">
        <v>55</v>
      </c>
      <c r="J5" s="245"/>
      <c r="K5" s="245"/>
      <c r="L5" s="245"/>
    </row>
    <row r="6" spans="9:12" ht="12.75">
      <c r="I6" s="245" t="s">
        <v>56</v>
      </c>
      <c r="J6" s="245"/>
      <c r="K6" s="245"/>
      <c r="L6" s="245"/>
    </row>
    <row r="7" spans="1:12" ht="12.75">
      <c r="A7" t="s">
        <v>57</v>
      </c>
      <c r="D7" t="s">
        <v>58</v>
      </c>
      <c r="I7" s="245" t="s">
        <v>59</v>
      </c>
      <c r="J7" s="245"/>
      <c r="K7" s="245"/>
      <c r="L7" s="245"/>
    </row>
    <row r="8" spans="9:10" ht="12.75">
      <c r="I8" s="34" t="s">
        <v>143</v>
      </c>
      <c r="J8" t="s">
        <v>144</v>
      </c>
    </row>
    <row r="9" spans="1:12" ht="13.5" customHeight="1">
      <c r="A9">
        <v>1</v>
      </c>
      <c r="B9" t="s">
        <v>60</v>
      </c>
      <c r="C9" s="35">
        <v>550999</v>
      </c>
      <c r="D9" t="s">
        <v>61</v>
      </c>
      <c r="I9" s="34" t="s">
        <v>62</v>
      </c>
      <c r="J9" s="246" t="s">
        <v>63</v>
      </c>
      <c r="K9" s="246"/>
      <c r="L9" s="36"/>
    </row>
    <row r="10" spans="1:12" ht="12.75">
      <c r="A10" s="35">
        <v>551000</v>
      </c>
      <c r="B10" t="s">
        <v>60</v>
      </c>
      <c r="C10" s="35">
        <v>1618999</v>
      </c>
      <c r="D10" t="s">
        <v>64</v>
      </c>
      <c r="I10" s="84" t="b">
        <f>IF('加入者(2)'!F14="該当",E5)</f>
        <v>0</v>
      </c>
      <c r="J10" s="37">
        <f>C34</f>
        <v>0</v>
      </c>
      <c r="K10" s="38"/>
      <c r="L10" s="36"/>
    </row>
    <row r="11" spans="1:12" ht="12.75">
      <c r="A11" s="35">
        <v>1619000</v>
      </c>
      <c r="B11" t="s">
        <v>60</v>
      </c>
      <c r="C11" s="35">
        <v>1619999</v>
      </c>
      <c r="D11" t="s">
        <v>65</v>
      </c>
      <c r="I11" s="34" t="s">
        <v>66</v>
      </c>
      <c r="J11" s="36"/>
      <c r="K11" s="36"/>
      <c r="L11" s="36"/>
    </row>
    <row r="12" spans="1:12" ht="12.75">
      <c r="A12" s="35">
        <v>1620000</v>
      </c>
      <c r="B12" t="s">
        <v>60</v>
      </c>
      <c r="C12" s="35">
        <v>1621999</v>
      </c>
      <c r="D12" t="s">
        <v>67</v>
      </c>
      <c r="I12" s="39" t="str">
        <f>_xlfn.IFERROR(VLOOKUP(I10,$J$20:$L$21,3,1),"0")</f>
        <v>0</v>
      </c>
      <c r="J12" s="36"/>
      <c r="K12" s="38"/>
      <c r="L12" s="36"/>
    </row>
    <row r="13" spans="1:10" ht="12.75">
      <c r="A13" s="35">
        <v>1622000</v>
      </c>
      <c r="B13" t="s">
        <v>60</v>
      </c>
      <c r="C13" s="35">
        <v>1623999</v>
      </c>
      <c r="D13" t="s">
        <v>68</v>
      </c>
      <c r="I13" s="245" t="s">
        <v>69</v>
      </c>
      <c r="J13" s="245"/>
    </row>
    <row r="14" spans="1:12" ht="12.75">
      <c r="A14" s="35">
        <v>1624000</v>
      </c>
      <c r="B14" t="s">
        <v>60</v>
      </c>
      <c r="C14" s="35">
        <v>1627999</v>
      </c>
      <c r="D14" t="s">
        <v>70</v>
      </c>
      <c r="I14" s="34">
        <f>_xlfn.IFERROR(J10-I12,"0")</f>
        <v>0</v>
      </c>
      <c r="J14" s="36"/>
      <c r="K14" s="36"/>
      <c r="L14" s="36"/>
    </row>
    <row r="15" spans="1:12" ht="12.75">
      <c r="A15" s="35">
        <v>1628000</v>
      </c>
      <c r="B15" t="s">
        <v>60</v>
      </c>
      <c r="C15" s="35">
        <v>1799999</v>
      </c>
      <c r="D15" t="s">
        <v>71</v>
      </c>
      <c r="I15" s="40"/>
      <c r="J15" s="36"/>
      <c r="K15" s="38"/>
      <c r="L15" s="38"/>
    </row>
    <row r="16" spans="1:12" ht="12.75">
      <c r="A16" s="35">
        <v>1800000</v>
      </c>
      <c r="B16" t="s">
        <v>60</v>
      </c>
      <c r="C16" s="35">
        <v>3599999</v>
      </c>
      <c r="D16" t="s">
        <v>72</v>
      </c>
      <c r="J16" s="36"/>
      <c r="K16" s="38"/>
      <c r="L16" s="38"/>
    </row>
    <row r="17" spans="1:4" ht="12.75">
      <c r="A17" s="35">
        <v>3600000</v>
      </c>
      <c r="B17" t="s">
        <v>60</v>
      </c>
      <c r="C17" s="35">
        <v>6599999</v>
      </c>
      <c r="D17" t="s">
        <v>73</v>
      </c>
    </row>
    <row r="18" spans="1:4" ht="12.75">
      <c r="A18" s="35">
        <v>6600000</v>
      </c>
      <c r="B18" t="s">
        <v>60</v>
      </c>
      <c r="C18" s="35">
        <v>8499999</v>
      </c>
      <c r="D18" t="s">
        <v>74</v>
      </c>
    </row>
    <row r="19" spans="1:12" ht="12.75">
      <c r="A19" s="35">
        <v>8500000</v>
      </c>
      <c r="B19" t="s">
        <v>75</v>
      </c>
      <c r="D19" t="s">
        <v>76</v>
      </c>
      <c r="I19" s="34" t="s">
        <v>77</v>
      </c>
      <c r="J19" s="36" t="s">
        <v>78</v>
      </c>
      <c r="K19" s="36" t="s">
        <v>79</v>
      </c>
      <c r="L19" s="36" t="s">
        <v>80</v>
      </c>
    </row>
    <row r="20" spans="9:12" ht="12.75">
      <c r="I20" s="34" t="s">
        <v>81</v>
      </c>
      <c r="J20" s="36">
        <v>8500000</v>
      </c>
      <c r="K20" s="38" t="b">
        <f>I10</f>
        <v>0</v>
      </c>
      <c r="L20" s="38">
        <f>(K20-8500000)*0.1</f>
        <v>-850000</v>
      </c>
    </row>
    <row r="21" spans="9:12" ht="12.75">
      <c r="I21" s="34" t="s">
        <v>82</v>
      </c>
      <c r="J21" s="36">
        <v>10000001</v>
      </c>
      <c r="K21" s="38" t="b">
        <f>I10</f>
        <v>0</v>
      </c>
      <c r="L21" s="38">
        <f>(10000000-8500000)*0.1</f>
        <v>150000</v>
      </c>
    </row>
    <row r="22" ht="12.75">
      <c r="C22" t="s">
        <v>83</v>
      </c>
    </row>
    <row r="23" ht="12.75">
      <c r="C23">
        <f>IF(E5&lt;=C9,0,0)</f>
        <v>0</v>
      </c>
    </row>
    <row r="24" ht="12.75">
      <c r="C24">
        <f>IF(AND($E$5&gt;=A10,$E$5&lt;=C10),$E$5-550000,0)</f>
        <v>0</v>
      </c>
    </row>
    <row r="25" ht="12.75">
      <c r="C25">
        <f>IF(AND($E$5&gt;=A11,$E$5&lt;=C11),1069000,0)</f>
        <v>0</v>
      </c>
    </row>
    <row r="26" ht="12.75">
      <c r="C26">
        <f>IF(AND($E$5&gt;=A12,$E$5&lt;=C12),1070000,0)</f>
        <v>0</v>
      </c>
    </row>
    <row r="27" ht="12.75">
      <c r="C27">
        <f>IF(AND($E$5&gt;=A13,$E$5&lt;=C13),1072000,0)</f>
        <v>0</v>
      </c>
    </row>
    <row r="28" ht="12.75">
      <c r="C28">
        <f>IF(AND($E$5&gt;=A14,$E$5&lt;=C14),1074000,0)</f>
        <v>0</v>
      </c>
    </row>
    <row r="29" ht="12.75">
      <c r="C29">
        <f>IF(AND($E$5&gt;=A15,$E$5&lt;=C15),ROUNDDOWN($E$5/4,-3)*2.4+100000,0)</f>
        <v>0</v>
      </c>
    </row>
    <row r="30" ht="12.75">
      <c r="C30">
        <f>IF(AND($E$5&gt;=A16,$E$5&lt;=C16),ROUNDDOWN($E$5/4,-3)*2.8-80000,0)</f>
        <v>0</v>
      </c>
    </row>
    <row r="31" ht="12.75">
      <c r="C31">
        <f>IF(AND($E$5&gt;=A17,$E$5&lt;=C17),ROUNDDOWN($E$5/4,-3)*3.2-440000,0)</f>
        <v>0</v>
      </c>
    </row>
    <row r="32" ht="12.75">
      <c r="C32">
        <f>IF(AND($E$5&gt;=A18,$E$5&lt;=C18),ROUNDDOWN($E$5*0.9,0)-1100000,0)</f>
        <v>0</v>
      </c>
    </row>
    <row r="33" ht="12.75">
      <c r="C33">
        <f>IF($E$5&gt;=A19,$E$5-1950000,0)</f>
        <v>0</v>
      </c>
    </row>
    <row r="34" spans="1:6" ht="12.75">
      <c r="A34" t="s">
        <v>33</v>
      </c>
      <c r="C34">
        <f>SUM(C23:C33)</f>
        <v>0</v>
      </c>
      <c r="E34">
        <v>100000</v>
      </c>
      <c r="F34" t="s">
        <v>84</v>
      </c>
    </row>
    <row r="37" ht="12.75">
      <c r="A37" t="s">
        <v>85</v>
      </c>
    </row>
    <row r="38" ht="12.75">
      <c r="A38" t="s">
        <v>86</v>
      </c>
    </row>
    <row r="39" ht="12.75">
      <c r="A39" t="s">
        <v>55</v>
      </c>
    </row>
    <row r="40" ht="12.75">
      <c r="A40" t="s">
        <v>56</v>
      </c>
    </row>
    <row r="41" ht="12.75">
      <c r="A41" t="s">
        <v>59</v>
      </c>
    </row>
  </sheetData>
  <sheetProtection/>
  <mergeCells count="7">
    <mergeCell ref="I13:J13"/>
    <mergeCell ref="I3:L3"/>
    <mergeCell ref="I4:L4"/>
    <mergeCell ref="I5:L5"/>
    <mergeCell ref="I6:L6"/>
    <mergeCell ref="I7:L7"/>
    <mergeCell ref="J9:K9"/>
  </mergeCells>
  <printOptions/>
  <pageMargins left="0.7" right="0.7" top="0.75" bottom="0.75" header="0.3" footer="0.3"/>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codeName="Sheet6"/>
  <dimension ref="A1:R54"/>
  <sheetViews>
    <sheetView zoomScalePageLayoutView="0" workbookViewId="0" topLeftCell="A25">
      <selection activeCell="F5" sqref="F5"/>
    </sheetView>
  </sheetViews>
  <sheetFormatPr defaultColWidth="9.140625" defaultRowHeight="15"/>
  <cols>
    <col min="1" max="1" width="4.00390625" style="0" customWidth="1"/>
    <col min="2" max="2" width="13.28125" style="0" customWidth="1"/>
    <col min="3" max="3" width="13.00390625" style="0" customWidth="1"/>
    <col min="4" max="4" width="3.8515625" style="0" customWidth="1"/>
    <col min="5" max="5" width="12.140625" style="0" customWidth="1"/>
    <col min="6" max="6" width="25.421875" style="0" customWidth="1"/>
    <col min="7" max="7" width="10.8515625" style="0" customWidth="1"/>
    <col min="8" max="8" width="14.421875" style="0" customWidth="1"/>
    <col min="9" max="9" width="10.8515625" style="0" customWidth="1"/>
    <col min="10" max="10" width="9.00390625" style="0" customWidth="1"/>
    <col min="11" max="11" width="10.7109375" style="0" customWidth="1"/>
    <col min="12" max="12" width="25.140625" style="0" customWidth="1"/>
    <col min="13" max="14" width="9.00390625" style="0" customWidth="1"/>
    <col min="15" max="15" width="11.140625" style="0" customWidth="1"/>
    <col min="16" max="16" width="9.00390625" style="0" customWidth="1"/>
    <col min="17" max="17" width="11.140625" style="0" customWidth="1"/>
    <col min="18" max="18" width="24.7109375" style="0" customWidth="1"/>
  </cols>
  <sheetData>
    <row r="1" ht="12.75">
      <c r="A1" t="s">
        <v>87</v>
      </c>
    </row>
    <row r="3" ht="12.75">
      <c r="A3" t="s">
        <v>88</v>
      </c>
    </row>
    <row r="5" spans="2:7" ht="12.75">
      <c r="B5" t="s">
        <v>89</v>
      </c>
      <c r="F5" s="83">
        <f>'加入者(2)'!F7</f>
        <v>0</v>
      </c>
      <c r="G5" t="s">
        <v>0</v>
      </c>
    </row>
    <row r="6" spans="2:10" ht="12.75">
      <c r="B6" t="s">
        <v>90</v>
      </c>
      <c r="F6" s="88" t="e">
        <f>'加入者(2)'!F8</f>
        <v>#N/A</v>
      </c>
      <c r="H6" t="s">
        <v>38</v>
      </c>
      <c r="J6" t="s">
        <v>40</v>
      </c>
    </row>
    <row r="7" spans="2:10" ht="12.75">
      <c r="B7" t="s">
        <v>91</v>
      </c>
      <c r="F7" s="88" t="str">
        <f>'加入者(2)'!F9</f>
        <v>1,000万円以下</v>
      </c>
      <c r="H7" t="s">
        <v>92</v>
      </c>
      <c r="J7" t="s">
        <v>93</v>
      </c>
    </row>
    <row r="8" ht="12.75">
      <c r="J8" t="s">
        <v>94</v>
      </c>
    </row>
    <row r="10" ht="12.75">
      <c r="B10" t="s">
        <v>95</v>
      </c>
    </row>
    <row r="11" spans="2:14" ht="12.75">
      <c r="B11" t="str">
        <f>J6</f>
        <v>1,000万円以下</v>
      </c>
      <c r="H11" t="str">
        <f>J7</f>
        <v>1,000万円超2,000万円以下</v>
      </c>
      <c r="N11" t="str">
        <f>J8</f>
        <v>2,000万円超</v>
      </c>
    </row>
    <row r="12" spans="2:18" ht="29.25" customHeight="1">
      <c r="B12" s="42" t="s">
        <v>96</v>
      </c>
      <c r="C12" s="247" t="s">
        <v>97</v>
      </c>
      <c r="D12" s="248"/>
      <c r="E12" s="249"/>
      <c r="F12" s="42" t="s">
        <v>98</v>
      </c>
      <c r="H12" s="42" t="s">
        <v>96</v>
      </c>
      <c r="I12" s="247" t="s">
        <v>97</v>
      </c>
      <c r="J12" s="248"/>
      <c r="K12" s="249"/>
      <c r="L12" s="42" t="s">
        <v>98</v>
      </c>
      <c r="N12" s="42" t="s">
        <v>96</v>
      </c>
      <c r="O12" s="247" t="s">
        <v>97</v>
      </c>
      <c r="P12" s="248"/>
      <c r="Q12" s="249"/>
      <c r="R12" s="42" t="s">
        <v>98</v>
      </c>
    </row>
    <row r="13" spans="2:18" ht="12.75">
      <c r="B13" s="250" t="s">
        <v>38</v>
      </c>
      <c r="C13" s="43">
        <v>1</v>
      </c>
      <c r="D13" s="44" t="s">
        <v>75</v>
      </c>
      <c r="E13" s="45">
        <v>3300000</v>
      </c>
      <c r="F13" s="42" t="s">
        <v>99</v>
      </c>
      <c r="H13" s="250" t="s">
        <v>38</v>
      </c>
      <c r="I13" s="43">
        <v>1</v>
      </c>
      <c r="J13" s="44" t="s">
        <v>75</v>
      </c>
      <c r="K13" s="45">
        <v>3300000</v>
      </c>
      <c r="L13" s="42" t="s">
        <v>100</v>
      </c>
      <c r="N13" s="250" t="s">
        <v>38</v>
      </c>
      <c r="O13" s="43">
        <v>1</v>
      </c>
      <c r="P13" s="44" t="s">
        <v>75</v>
      </c>
      <c r="Q13" s="45">
        <v>3300000</v>
      </c>
      <c r="R13" s="42" t="s">
        <v>101</v>
      </c>
    </row>
    <row r="14" spans="2:18" ht="12.75">
      <c r="B14" s="251"/>
      <c r="C14" s="43">
        <v>3300001</v>
      </c>
      <c r="D14" s="44" t="s">
        <v>75</v>
      </c>
      <c r="E14" s="45">
        <v>4100000</v>
      </c>
      <c r="F14" s="42" t="s">
        <v>103</v>
      </c>
      <c r="H14" s="251"/>
      <c r="I14" s="43">
        <v>3300001</v>
      </c>
      <c r="J14" s="44" t="s">
        <v>75</v>
      </c>
      <c r="K14" s="45">
        <v>4100000</v>
      </c>
      <c r="L14" s="42" t="s">
        <v>105</v>
      </c>
      <c r="N14" s="251"/>
      <c r="O14" s="43">
        <v>3300001</v>
      </c>
      <c r="P14" s="44" t="s">
        <v>75</v>
      </c>
      <c r="Q14" s="45">
        <v>4100000</v>
      </c>
      <c r="R14" s="42" t="s">
        <v>107</v>
      </c>
    </row>
    <row r="15" spans="2:18" ht="12.75">
      <c r="B15" s="251"/>
      <c r="C15" s="43">
        <v>4100001</v>
      </c>
      <c r="D15" s="44" t="s">
        <v>75</v>
      </c>
      <c r="E15" s="45">
        <v>7700000</v>
      </c>
      <c r="F15" s="42" t="s">
        <v>108</v>
      </c>
      <c r="H15" s="251"/>
      <c r="I15" s="43">
        <v>4100001</v>
      </c>
      <c r="J15" s="44" t="s">
        <v>75</v>
      </c>
      <c r="K15" s="45">
        <v>7700000</v>
      </c>
      <c r="L15" s="42" t="s">
        <v>110</v>
      </c>
      <c r="N15" s="251"/>
      <c r="O15" s="43">
        <v>4100001</v>
      </c>
      <c r="P15" s="44" t="s">
        <v>75</v>
      </c>
      <c r="Q15" s="45">
        <v>7700000</v>
      </c>
      <c r="R15" s="42" t="s">
        <v>111</v>
      </c>
    </row>
    <row r="16" spans="2:18" ht="12.75">
      <c r="B16" s="251"/>
      <c r="C16" s="43">
        <v>7700001</v>
      </c>
      <c r="D16" s="44" t="s">
        <v>75</v>
      </c>
      <c r="E16" s="45">
        <v>10000000</v>
      </c>
      <c r="F16" s="42" t="s">
        <v>112</v>
      </c>
      <c r="H16" s="251"/>
      <c r="I16" s="43">
        <v>7700001</v>
      </c>
      <c r="J16" s="44" t="s">
        <v>75</v>
      </c>
      <c r="K16" s="45">
        <v>10000000</v>
      </c>
      <c r="L16" s="42" t="s">
        <v>114</v>
      </c>
      <c r="N16" s="251"/>
      <c r="O16" s="43">
        <v>7700001</v>
      </c>
      <c r="P16" s="44" t="s">
        <v>75</v>
      </c>
      <c r="Q16" s="45">
        <v>10000000</v>
      </c>
      <c r="R16" s="42" t="s">
        <v>115</v>
      </c>
    </row>
    <row r="17" spans="2:18" ht="12.75">
      <c r="B17" s="252"/>
      <c r="C17" s="43">
        <v>10000001</v>
      </c>
      <c r="D17" s="44" t="s">
        <v>75</v>
      </c>
      <c r="E17" s="45"/>
      <c r="F17" s="42" t="s">
        <v>116</v>
      </c>
      <c r="H17" s="252"/>
      <c r="I17" s="43">
        <v>10000001</v>
      </c>
      <c r="J17" s="44" t="s">
        <v>75</v>
      </c>
      <c r="K17" s="45"/>
      <c r="L17" s="42" t="s">
        <v>118</v>
      </c>
      <c r="N17" s="252"/>
      <c r="O17" s="43">
        <v>10000001</v>
      </c>
      <c r="P17" s="44" t="s">
        <v>75</v>
      </c>
      <c r="Q17" s="45"/>
      <c r="R17" s="42" t="s">
        <v>120</v>
      </c>
    </row>
    <row r="18" spans="2:18" ht="12.75">
      <c r="B18" s="253" t="s">
        <v>92</v>
      </c>
      <c r="C18" s="43">
        <v>1</v>
      </c>
      <c r="D18" s="44" t="s">
        <v>75</v>
      </c>
      <c r="E18" s="45">
        <v>1300000</v>
      </c>
      <c r="F18" s="42" t="s">
        <v>121</v>
      </c>
      <c r="H18" s="253" t="s">
        <v>92</v>
      </c>
      <c r="I18" s="43">
        <v>1</v>
      </c>
      <c r="J18" s="44" t="s">
        <v>75</v>
      </c>
      <c r="K18" s="45">
        <v>1300000</v>
      </c>
      <c r="L18" s="42" t="s">
        <v>123</v>
      </c>
      <c r="N18" s="253" t="s">
        <v>92</v>
      </c>
      <c r="O18" s="43">
        <v>1</v>
      </c>
      <c r="P18" s="44" t="s">
        <v>75</v>
      </c>
      <c r="Q18" s="45">
        <v>1300000</v>
      </c>
      <c r="R18" s="42" t="s">
        <v>124</v>
      </c>
    </row>
    <row r="19" spans="2:18" ht="12.75">
      <c r="B19" s="254"/>
      <c r="C19" s="43">
        <v>1300001</v>
      </c>
      <c r="D19" s="44" t="s">
        <v>75</v>
      </c>
      <c r="E19" s="45">
        <v>4100000</v>
      </c>
      <c r="F19" s="42" t="s">
        <v>103</v>
      </c>
      <c r="H19" s="254"/>
      <c r="I19" s="43">
        <v>1300001</v>
      </c>
      <c r="J19" s="44" t="s">
        <v>75</v>
      </c>
      <c r="K19" s="45">
        <v>4100000</v>
      </c>
      <c r="L19" s="42" t="s">
        <v>105</v>
      </c>
      <c r="N19" s="254"/>
      <c r="O19" s="43">
        <v>1300001</v>
      </c>
      <c r="P19" s="44" t="s">
        <v>75</v>
      </c>
      <c r="Q19" s="45">
        <v>4100000</v>
      </c>
      <c r="R19" s="42" t="s">
        <v>107</v>
      </c>
    </row>
    <row r="20" spans="2:18" ht="12.75">
      <c r="B20" s="254"/>
      <c r="C20" s="43">
        <v>4100001</v>
      </c>
      <c r="D20" s="44" t="s">
        <v>60</v>
      </c>
      <c r="E20" s="45">
        <v>7700000</v>
      </c>
      <c r="F20" s="42" t="s">
        <v>108</v>
      </c>
      <c r="H20" s="254"/>
      <c r="I20" s="43">
        <v>4100001</v>
      </c>
      <c r="J20" s="44" t="s">
        <v>60</v>
      </c>
      <c r="K20" s="45">
        <v>7700000</v>
      </c>
      <c r="L20" s="42" t="s">
        <v>110</v>
      </c>
      <c r="N20" s="254"/>
      <c r="O20" s="43">
        <v>4100001</v>
      </c>
      <c r="P20" s="44" t="s">
        <v>60</v>
      </c>
      <c r="Q20" s="45">
        <v>7700000</v>
      </c>
      <c r="R20" s="42" t="s">
        <v>111</v>
      </c>
    </row>
    <row r="21" spans="2:18" ht="12.75">
      <c r="B21" s="254"/>
      <c r="C21" s="43">
        <v>7700001</v>
      </c>
      <c r="D21" s="44" t="s">
        <v>60</v>
      </c>
      <c r="E21" s="45">
        <v>10000000</v>
      </c>
      <c r="F21" s="42" t="s">
        <v>112</v>
      </c>
      <c r="H21" s="254"/>
      <c r="I21" s="43">
        <v>7700001</v>
      </c>
      <c r="J21" s="44" t="s">
        <v>60</v>
      </c>
      <c r="K21" s="45">
        <v>10000000</v>
      </c>
      <c r="L21" s="42" t="s">
        <v>114</v>
      </c>
      <c r="N21" s="254"/>
      <c r="O21" s="43">
        <v>7700001</v>
      </c>
      <c r="P21" s="44" t="s">
        <v>60</v>
      </c>
      <c r="Q21" s="45">
        <v>10000000</v>
      </c>
      <c r="R21" s="42" t="s">
        <v>115</v>
      </c>
    </row>
    <row r="22" spans="2:18" ht="12.75">
      <c r="B22" s="255"/>
      <c r="C22" s="43">
        <v>10000001</v>
      </c>
      <c r="D22" s="44" t="s">
        <v>75</v>
      </c>
      <c r="E22" s="45"/>
      <c r="F22" s="42" t="s">
        <v>116</v>
      </c>
      <c r="H22" s="255"/>
      <c r="I22" s="43">
        <v>10000001</v>
      </c>
      <c r="J22" s="44" t="s">
        <v>75</v>
      </c>
      <c r="K22" s="45"/>
      <c r="L22" s="42" t="s">
        <v>118</v>
      </c>
      <c r="N22" s="255"/>
      <c r="O22" s="43">
        <v>10000001</v>
      </c>
      <c r="P22" s="44" t="s">
        <v>75</v>
      </c>
      <c r="Q22" s="45"/>
      <c r="R22" s="42" t="s">
        <v>120</v>
      </c>
    </row>
    <row r="24" ht="12.75">
      <c r="B24" t="s">
        <v>134</v>
      </c>
    </row>
    <row r="25" ht="12.75">
      <c r="B25" t="s">
        <v>135</v>
      </c>
    </row>
    <row r="26" ht="12.75">
      <c r="B26" t="s">
        <v>136</v>
      </c>
    </row>
    <row r="28" ht="12.75">
      <c r="B28" t="s">
        <v>137</v>
      </c>
    </row>
    <row r="30" spans="3:8" ht="12.75">
      <c r="C30" t="str">
        <f>J6</f>
        <v>1,000万円以下</v>
      </c>
      <c r="F30" t="str">
        <f>J7</f>
        <v>1,000万円超2,000万円以下</v>
      </c>
      <c r="H30" t="str">
        <f>J8</f>
        <v>2,000万円超</v>
      </c>
    </row>
    <row r="31" spans="2:8" ht="12.75">
      <c r="B31" t="s">
        <v>38</v>
      </c>
      <c r="C31" t="e">
        <f>IF(AND($F$6=$H$6,$F$7=$J$6,$F$5&gt;=C13,$F$5&lt;=E13),1100000,0)</f>
        <v>#N/A</v>
      </c>
      <c r="F31" t="e">
        <f>IF(AND($F$6=$H$6,$F$7=$J$7,$F$5&gt;=I13,$F$5&lt;=K13),1000000,0)</f>
        <v>#N/A</v>
      </c>
      <c r="H31" t="e">
        <f>IF(AND($F$6=$H$6,$F$7=$J$8,$F$5&gt;=O13,$F$5&lt;=Q13),900000,0)</f>
        <v>#N/A</v>
      </c>
    </row>
    <row r="32" spans="3:8" ht="12.75">
      <c r="C32" t="e">
        <f>IF(AND($F$6=$H$6,$F$7=$J$6,$F$5&gt;=C14,$F$5&lt;=E14),ROUNDUP($F$5*0.25+275000,0),0)</f>
        <v>#N/A</v>
      </c>
      <c r="F32" t="e">
        <f>IF(AND($F$6=$H$6,$F$7=$J$7,$F$5&gt;=I14,$F$5&lt;=K14),ROUNDUP($F$5*0.25+175000,0),0)</f>
        <v>#N/A</v>
      </c>
      <c r="H32" t="e">
        <f>IF(AND($F$6=$H$6,$F$7=$J$8,$F$5&gt;=O14,$F$5&lt;=Q14),ROUNDUP($F$5*0.25+75000,0),0)</f>
        <v>#N/A</v>
      </c>
    </row>
    <row r="33" spans="3:8" ht="12.75">
      <c r="C33" t="e">
        <f>IF(AND($F$6=$H$6,$F$7=$J$6,$F$5&gt;=C15,$F$5&lt;=E15),ROUNDUP($F$5*0.15+685000,0),0)</f>
        <v>#N/A</v>
      </c>
      <c r="F33" t="e">
        <f>IF(AND($F$6=$H$6,$F$7=$J$7,$F$5&gt;=I15,$F$5&lt;=K15),ROUNDUP($F$5*0.15+585000,0),0)</f>
        <v>#N/A</v>
      </c>
      <c r="H33" t="e">
        <f>IF(AND($F$6=$H$6,$F$7=$J$8,$F$5&gt;=O15,$F$5&lt;=Q15),ROUNDUP($F$5*0.15+485000,0),0)</f>
        <v>#N/A</v>
      </c>
    </row>
    <row r="34" spans="3:8" ht="12.75">
      <c r="C34" t="e">
        <f>IF(AND($F$6=$H$6,$F$7=$J$6,$F$5&gt;=C16,$F$5&lt;=E16),ROUNDUP($F$5*0.05+1455000,0),0)</f>
        <v>#N/A</v>
      </c>
      <c r="F34" t="e">
        <f>IF(AND($F$6=$H$6,$F$7=$J$7,$F$5&gt;=I16,$F$5&lt;=K16),ROUNDUP($F$5*0.05+1355000,0),0)</f>
        <v>#N/A</v>
      </c>
      <c r="H34" t="e">
        <f>IF(AND($F$6=$H$6,$F$7=$J$8,$F$5&gt;=O16,$F$5&lt;=Q16),ROUNDUP($F$5*0.05+1255000,0),0)</f>
        <v>#N/A</v>
      </c>
    </row>
    <row r="35" spans="3:8" ht="12.75">
      <c r="C35" t="e">
        <f>IF(AND($F$6=$H$6,$F$7=$J$6,$F$5&gt;=C17),1955000,0)</f>
        <v>#N/A</v>
      </c>
      <c r="F35" t="e">
        <f>IF(AND($F$6=$H$6,$F$7=$J$7,$F$5&gt;=I17),1855000,0)</f>
        <v>#N/A</v>
      </c>
      <c r="H35" t="e">
        <f>IF(AND($F$6=$H$6,$F$7=$J$8,$F$5&gt;=O17),1755000,0)</f>
        <v>#N/A</v>
      </c>
    </row>
    <row r="36" spans="2:8" ht="12.75">
      <c r="B36" t="s">
        <v>92</v>
      </c>
      <c r="C36" t="e">
        <f>IF(AND($F$6=$H$7,$F$7=$J$6,$F$5&gt;=C18,$F$5&lt;=E18),600000,0)</f>
        <v>#N/A</v>
      </c>
      <c r="F36" t="e">
        <f>IF(AND($F$6=$H$7,$F$7=$J$7,$F$5&gt;=I18,$F$5&lt;=K18),500000,0)</f>
        <v>#N/A</v>
      </c>
      <c r="H36" t="e">
        <f>IF(AND($F$6=$H$7,$F$7=$J$8,$F$5&gt;=O18,$F$5&lt;=Q18),400000,0)</f>
        <v>#N/A</v>
      </c>
    </row>
    <row r="37" spans="3:8" ht="12.75">
      <c r="C37" t="e">
        <f>IF(AND($F$6=$H$7,$F$7=$J$6,$F$5&gt;=C19,$F$5&lt;=E19),ROUNDUP($F$5*0.25+275000,0),0)</f>
        <v>#N/A</v>
      </c>
      <c r="F37" t="e">
        <f>IF(AND($F$6=$H$7,$F$7=$J$7,$F$5&gt;=I19,$F$5&lt;=K19),ROUNDUP($F$5*0.25+175000,0),0)</f>
        <v>#N/A</v>
      </c>
      <c r="H37" t="e">
        <f>IF(AND($F$6=$H$7,$F$7=$J$8,$F$5&gt;=O19,$F$5&lt;=Q19),ROUNDUP($F$5*0.25+75000,0),0)</f>
        <v>#N/A</v>
      </c>
    </row>
    <row r="38" spans="3:8" ht="12.75">
      <c r="C38" t="e">
        <f>IF(AND($F$6=$H$7,$F$7=$J$6,$F$5&gt;=C20,$F$5&lt;=E20),ROUNDUP($F$5*0.15+685000,0),0)</f>
        <v>#N/A</v>
      </c>
      <c r="F38" t="e">
        <f>IF(AND($F$6=$H$7,$F$7=$J$7,$F$5&gt;=I20,$F$5&lt;=K20),ROUNDUP($F$5*0.15+585000,0),0)</f>
        <v>#N/A</v>
      </c>
      <c r="H38" t="e">
        <f>IF(AND($F$6=$H$7,$F$7=$J$8,$F$5&gt;=O20,$F$5&lt;=Q20),ROUNDUP($F$5*0.15+485000,0),0)</f>
        <v>#N/A</v>
      </c>
    </row>
    <row r="39" spans="3:8" ht="12.75">
      <c r="C39" t="e">
        <f>IF(AND($F$6=$H$7,$F$7=$J$6,$F$5&gt;=C21,$F$5&lt;=E21),ROUNDUP($F$5*0.05+1455000,0),0)</f>
        <v>#N/A</v>
      </c>
      <c r="F39" t="e">
        <f>IF(AND($F$6=$H$7,$F$7=$J$7,$F$5&gt;=I21,$F$5&lt;=K21),ROUNDUP($F$5*0.05+1355000,0),0)</f>
        <v>#N/A</v>
      </c>
      <c r="H39" t="e">
        <f>IF(AND($F$6=$H$7,$F$7=$J$8,$F$5&gt;=O21,$F$5&lt;=Q21),ROUNDUP($F$5*0.05+1255000,0),0)</f>
        <v>#N/A</v>
      </c>
    </row>
    <row r="40" spans="3:8" ht="12.75">
      <c r="C40" t="e">
        <f>IF(AND($F$6=$H$7,$F$7=$J$6,$F$5&gt;=C22),1955000,0)</f>
        <v>#N/A</v>
      </c>
      <c r="F40" t="e">
        <f>IF(AND($F$6=$H$7,$F$7=$J$7,$F$5&gt;=I22),1855000,0)</f>
        <v>#N/A</v>
      </c>
      <c r="H40" t="e">
        <f>IF(AND($F$6=$H$7,$F$7=$J$8,$F$5&gt;=O22),1755000,0)</f>
        <v>#N/A</v>
      </c>
    </row>
    <row r="42" spans="2:10" ht="12.75">
      <c r="B42" t="s">
        <v>138</v>
      </c>
      <c r="C42" t="e">
        <f>SUM(C31:C41)</f>
        <v>#N/A</v>
      </c>
      <c r="F42" t="e">
        <f>SUM(F31:F41)</f>
        <v>#N/A</v>
      </c>
      <c r="H42" t="e">
        <f>SUM(H31:H41)</f>
        <v>#N/A</v>
      </c>
      <c r="J42" t="e">
        <f>SUM(C42:H42)</f>
        <v>#N/A</v>
      </c>
    </row>
    <row r="43" spans="2:6" ht="39">
      <c r="B43" s="46" t="s">
        <v>139</v>
      </c>
      <c r="C43" t="e">
        <f>MAX($F$5-J42,0)</f>
        <v>#N/A</v>
      </c>
      <c r="E43">
        <v>100000</v>
      </c>
      <c r="F43" t="s">
        <v>84</v>
      </c>
    </row>
    <row r="47" ht="12.75">
      <c r="A47" t="s">
        <v>140</v>
      </c>
    </row>
    <row r="49" spans="2:3" ht="12.75">
      <c r="B49" s="83" t="e">
        <f>'加入者(2)'!F19+'加入者(2)'!F20-100000</f>
        <v>#N/A</v>
      </c>
      <c r="C49" t="s">
        <v>0</v>
      </c>
    </row>
    <row r="51" spans="2:8" ht="12.75">
      <c r="B51" t="s">
        <v>148</v>
      </c>
      <c r="C51" t="s">
        <v>149</v>
      </c>
      <c r="E51" t="s">
        <v>141</v>
      </c>
      <c r="F51" t="s">
        <v>4</v>
      </c>
      <c r="G51" t="s">
        <v>158</v>
      </c>
      <c r="H51" t="s">
        <v>159</v>
      </c>
    </row>
    <row r="52" spans="2:9" ht="12.75">
      <c r="B52" t="s">
        <v>26</v>
      </c>
      <c r="C52" t="s">
        <v>92</v>
      </c>
      <c r="E52" s="85">
        <f>'計算シート12'!J10</f>
        <v>0</v>
      </c>
      <c r="F52" s="86">
        <f>'HP用'!G19</f>
        <v>0</v>
      </c>
      <c r="G52" s="35">
        <f>E52+F52</f>
        <v>0</v>
      </c>
      <c r="H52">
        <v>10000000</v>
      </c>
      <c r="I52" t="s">
        <v>40</v>
      </c>
    </row>
    <row r="53" spans="2:9" ht="12.75">
      <c r="B53" t="s">
        <v>146</v>
      </c>
      <c r="C53" t="s">
        <v>92</v>
      </c>
      <c r="H53">
        <v>10000001</v>
      </c>
      <c r="I53" t="s">
        <v>93</v>
      </c>
    </row>
    <row r="54" spans="2:9" ht="12.75">
      <c r="B54" t="s">
        <v>25</v>
      </c>
      <c r="C54" t="s">
        <v>38</v>
      </c>
      <c r="H54">
        <v>20000001</v>
      </c>
      <c r="I54" t="s">
        <v>94</v>
      </c>
    </row>
  </sheetData>
  <sheetProtection/>
  <mergeCells count="9">
    <mergeCell ref="O12:Q12"/>
    <mergeCell ref="B13:B17"/>
    <mergeCell ref="H13:H17"/>
    <mergeCell ref="N13:N17"/>
    <mergeCell ref="B18:B22"/>
    <mergeCell ref="H18:H22"/>
    <mergeCell ref="N18:N22"/>
    <mergeCell ref="C12:E12"/>
    <mergeCell ref="I12:K12"/>
  </mergeCells>
  <printOptions/>
  <pageMargins left="0.7" right="0.7" top="0.75" bottom="0.75" header="0.3" footer="0.3"/>
  <pageSetup horizontalDpi="600" verticalDpi="600" orientation="portrait" paperSize="9" scale="39" r:id="rId1"/>
</worksheet>
</file>

<file path=xl/worksheets/sheet9.xml><?xml version="1.0" encoding="utf-8"?>
<worksheet xmlns="http://schemas.openxmlformats.org/spreadsheetml/2006/main" xmlns:r="http://schemas.openxmlformats.org/officeDocument/2006/relationships">
  <sheetPr codeName="Sheet10">
    <tabColor rgb="FFFFFF00"/>
  </sheetPr>
  <dimension ref="A1:G26"/>
  <sheetViews>
    <sheetView view="pageBreakPreview" zoomScaleSheetLayoutView="100" zoomScalePageLayoutView="0" workbookViewId="0" topLeftCell="A22">
      <selection activeCell="F14" sqref="F14:G14"/>
    </sheetView>
  </sheetViews>
  <sheetFormatPr defaultColWidth="9.140625" defaultRowHeight="15"/>
  <cols>
    <col min="1" max="1" width="3.7109375" style="0" customWidth="1"/>
    <col min="3" max="3" width="11.8515625" style="0" customWidth="1"/>
    <col min="4" max="4" width="11.28125" style="0" customWidth="1"/>
    <col min="5" max="5" width="14.8515625" style="0" customWidth="1"/>
    <col min="6" max="6" width="31.140625" style="0" customWidth="1"/>
    <col min="7" max="7" width="7.140625" style="0" customWidth="1"/>
  </cols>
  <sheetData>
    <row r="1" spans="1:7" ht="29.25" customHeight="1">
      <c r="A1" s="47" t="s">
        <v>34</v>
      </c>
      <c r="B1" s="48"/>
      <c r="C1" s="48"/>
      <c r="D1" s="48"/>
      <c r="E1" s="48"/>
      <c r="F1" s="48"/>
      <c r="G1" s="48"/>
    </row>
    <row r="2" spans="1:7" ht="4.5" customHeight="1">
      <c r="A2" s="47"/>
      <c r="B2" s="48"/>
      <c r="C2" s="48"/>
      <c r="D2" s="48"/>
      <c r="E2" s="48"/>
      <c r="F2" s="48"/>
      <c r="G2" s="48"/>
    </row>
    <row r="3" spans="1:7" ht="21" customHeight="1">
      <c r="A3" s="48"/>
      <c r="B3" s="48" t="s">
        <v>154</v>
      </c>
      <c r="C3" s="48"/>
      <c r="D3" s="48"/>
      <c r="E3" s="240" t="s">
        <v>155</v>
      </c>
      <c r="F3" s="240"/>
      <c r="G3" s="48"/>
    </row>
    <row r="4" spans="1:7" ht="21" customHeight="1">
      <c r="A4" s="48"/>
      <c r="B4" s="48" t="s">
        <v>153</v>
      </c>
      <c r="C4" s="48"/>
      <c r="D4" s="48"/>
      <c r="E4" s="49"/>
      <c r="F4" s="48"/>
      <c r="G4" s="48"/>
    </row>
    <row r="5" spans="1:7" ht="19.5" customHeight="1">
      <c r="A5" s="50" t="s">
        <v>157</v>
      </c>
      <c r="B5" s="48"/>
      <c r="C5" s="48"/>
      <c r="D5" s="48"/>
      <c r="E5" s="48"/>
      <c r="F5" s="48"/>
      <c r="G5" s="48"/>
    </row>
    <row r="6" spans="1:7" ht="28.5" customHeight="1">
      <c r="A6" s="48"/>
      <c r="B6" s="51" t="s">
        <v>35</v>
      </c>
      <c r="C6" s="52"/>
      <c r="D6" s="52"/>
      <c r="E6" s="52"/>
      <c r="F6" s="53">
        <f>'HP用'!E20</f>
        <v>0</v>
      </c>
      <c r="G6" s="54" t="s">
        <v>0</v>
      </c>
    </row>
    <row r="7" spans="1:7" ht="28.5" customHeight="1">
      <c r="A7" s="48"/>
      <c r="B7" s="51" t="s">
        <v>36</v>
      </c>
      <c r="C7" s="52"/>
      <c r="D7" s="52"/>
      <c r="E7" s="52"/>
      <c r="F7" s="53">
        <f>'HP用'!F20</f>
        <v>0</v>
      </c>
      <c r="G7" s="54" t="s">
        <v>0</v>
      </c>
    </row>
    <row r="8" spans="1:7" ht="28.5" customHeight="1">
      <c r="A8" s="48"/>
      <c r="B8" s="55" t="s">
        <v>37</v>
      </c>
      <c r="C8" s="56"/>
      <c r="D8" s="56"/>
      <c r="E8" s="56"/>
      <c r="F8" s="241" t="e">
        <f>VLOOKUP('HP用'!D20,'計算シート23'!$B$52:$C$54,2,1)</f>
        <v>#N/A</v>
      </c>
      <c r="G8" s="242"/>
    </row>
    <row r="9" spans="1:7" ht="28.5" customHeight="1">
      <c r="A9" s="48"/>
      <c r="B9" s="243" t="s">
        <v>39</v>
      </c>
      <c r="C9" s="243"/>
      <c r="D9" s="243"/>
      <c r="E9" s="243"/>
      <c r="F9" s="244" t="str">
        <f>_xlfn.IFERROR(VLOOKUP('計算シート23'!G52,'計算シート23'!$H$52:$I$54,2,1),"1,000万円以下")</f>
        <v>1,000万円以下</v>
      </c>
      <c r="G9" s="244"/>
    </row>
    <row r="10" spans="1:7" ht="4.5" customHeight="1">
      <c r="A10" s="48"/>
      <c r="B10" s="48"/>
      <c r="C10" s="48"/>
      <c r="D10" s="48"/>
      <c r="E10" s="48"/>
      <c r="F10" s="48"/>
      <c r="G10" s="48"/>
    </row>
    <row r="11" spans="1:7" ht="19.5" customHeight="1">
      <c r="A11" s="50"/>
      <c r="B11" s="57" t="s">
        <v>41</v>
      </c>
      <c r="C11" s="48"/>
      <c r="D11" s="48"/>
      <c r="E11" s="48"/>
      <c r="F11" s="48"/>
      <c r="G11" s="48"/>
    </row>
    <row r="12" spans="1:7" ht="19.5" customHeight="1">
      <c r="A12" s="50"/>
      <c r="B12" s="57"/>
      <c r="C12" s="48"/>
      <c r="D12" s="48"/>
      <c r="E12" s="48"/>
      <c r="F12" s="48"/>
      <c r="G12" s="48"/>
    </row>
    <row r="13" spans="1:7" ht="19.5" customHeight="1">
      <c r="A13" s="50" t="s">
        <v>156</v>
      </c>
      <c r="B13" s="57"/>
      <c r="C13" s="48"/>
      <c r="D13" s="48"/>
      <c r="E13" s="48"/>
      <c r="F13" s="48"/>
      <c r="G13" s="48"/>
    </row>
    <row r="14" spans="1:7" ht="90" customHeight="1">
      <c r="A14" s="50"/>
      <c r="B14" s="235" t="s">
        <v>142</v>
      </c>
      <c r="C14" s="236"/>
      <c r="D14" s="236"/>
      <c r="E14" s="237"/>
      <c r="F14" s="238">
        <f>_xlfn.IFERROR('HP用'!C20,"非該当")</f>
        <v>0</v>
      </c>
      <c r="G14" s="239"/>
    </row>
    <row r="15" spans="1:7" ht="28.5" customHeight="1">
      <c r="A15" s="50"/>
      <c r="B15" s="232" t="s">
        <v>42</v>
      </c>
      <c r="C15" s="233"/>
      <c r="D15" s="233"/>
      <c r="E15" s="234"/>
      <c r="F15" s="58" t="str">
        <f>'計算シート13'!I12</f>
        <v>0</v>
      </c>
      <c r="G15" s="59" t="s">
        <v>0</v>
      </c>
    </row>
    <row r="16" spans="1:7" ht="19.5" customHeight="1">
      <c r="A16" s="48"/>
      <c r="B16" s="48"/>
      <c r="C16" s="48"/>
      <c r="D16" s="48"/>
      <c r="E16" s="48"/>
      <c r="F16" s="48"/>
      <c r="G16" s="48"/>
    </row>
    <row r="17" spans="1:7" ht="19.5" customHeight="1">
      <c r="A17" s="50" t="s">
        <v>43</v>
      </c>
      <c r="B17" s="48"/>
      <c r="C17" s="48"/>
      <c r="D17" s="48"/>
      <c r="E17" s="48"/>
      <c r="F17" s="48"/>
      <c r="G17" s="48"/>
    </row>
    <row r="18" spans="1:7" ht="10.5" customHeight="1">
      <c r="A18" s="48"/>
      <c r="B18" s="48"/>
      <c r="C18" s="48"/>
      <c r="D18" s="48"/>
      <c r="E18" s="48"/>
      <c r="F18" s="48"/>
      <c r="G18" s="48"/>
    </row>
    <row r="19" spans="1:7" ht="28.5" customHeight="1">
      <c r="A19" s="48"/>
      <c r="B19" s="51" t="s">
        <v>44</v>
      </c>
      <c r="C19" s="52"/>
      <c r="D19" s="52"/>
      <c r="E19" s="52"/>
      <c r="F19" s="60">
        <f>IF('計算シート13'!C34&lt;=100000,'計算シート13'!C34,'計算シート13'!E34)</f>
        <v>0</v>
      </c>
      <c r="G19" s="54" t="s">
        <v>0</v>
      </c>
    </row>
    <row r="20" spans="1:7" ht="28.5" customHeight="1" thickBot="1">
      <c r="A20" s="48"/>
      <c r="B20" s="51" t="s">
        <v>45</v>
      </c>
      <c r="C20" s="52"/>
      <c r="D20" s="52"/>
      <c r="E20" s="52"/>
      <c r="F20" s="60" t="e">
        <f>IF('計算シート23'!C43&lt;=100000,'計算シート23'!C43,'計算シート23'!E43)</f>
        <v>#N/A</v>
      </c>
      <c r="G20" s="54" t="s">
        <v>0</v>
      </c>
    </row>
    <row r="21" spans="1:7" ht="28.5" customHeight="1" thickTop="1">
      <c r="A21" s="48"/>
      <c r="B21" s="61" t="s">
        <v>46</v>
      </c>
      <c r="C21" s="62"/>
      <c r="D21" s="62"/>
      <c r="E21" s="62"/>
      <c r="F21" s="63" t="e">
        <f>IF('計算シート23'!B49&gt;=0,'計算シート23'!B49,0)</f>
        <v>#N/A</v>
      </c>
      <c r="G21" s="64" t="s">
        <v>0</v>
      </c>
    </row>
    <row r="22" spans="1:7" ht="12.75">
      <c r="A22" s="48"/>
      <c r="B22" s="48"/>
      <c r="C22" s="48"/>
      <c r="D22" s="48"/>
      <c r="E22" s="48"/>
      <c r="F22" s="48"/>
      <c r="G22" s="48"/>
    </row>
    <row r="23" spans="1:7" ht="19.5" customHeight="1">
      <c r="A23" s="50" t="s">
        <v>47</v>
      </c>
      <c r="B23" s="48"/>
      <c r="C23" s="48"/>
      <c r="D23" s="48"/>
      <c r="E23" s="48"/>
      <c r="F23" s="48"/>
      <c r="G23" s="48"/>
    </row>
    <row r="24" spans="1:7" ht="28.5" customHeight="1">
      <c r="A24" s="48"/>
      <c r="B24" s="55" t="s">
        <v>48</v>
      </c>
      <c r="C24" s="56"/>
      <c r="D24" s="56"/>
      <c r="E24" s="65"/>
      <c r="F24" s="80" t="str">
        <f>_xlfn.IFERROR('計算シート13'!C34-('加入者(3)'!F15+'加入者(3)'!F21),"0")</f>
        <v>0</v>
      </c>
      <c r="G24" s="65" t="s">
        <v>0</v>
      </c>
    </row>
    <row r="25" spans="1:7" ht="28.5" customHeight="1" thickBot="1">
      <c r="A25" s="48"/>
      <c r="B25" s="66" t="s">
        <v>49</v>
      </c>
      <c r="C25" s="67"/>
      <c r="D25" s="67"/>
      <c r="E25" s="68"/>
      <c r="F25" s="79" t="str">
        <f>_xlfn.IFERROR('計算シート23'!C43,"0")</f>
        <v>0</v>
      </c>
      <c r="G25" s="68" t="s">
        <v>0</v>
      </c>
    </row>
    <row r="26" spans="1:7" ht="28.5" customHeight="1" thickTop="1">
      <c r="A26" s="48"/>
      <c r="B26" s="69" t="s">
        <v>50</v>
      </c>
      <c r="C26" s="70"/>
      <c r="D26" s="70"/>
      <c r="E26" s="71"/>
      <c r="F26" s="72">
        <f>F24+F25</f>
        <v>0</v>
      </c>
      <c r="G26" s="71" t="s">
        <v>0</v>
      </c>
    </row>
  </sheetData>
  <sheetProtection/>
  <mergeCells count="7">
    <mergeCell ref="B15:E15"/>
    <mergeCell ref="E3:F3"/>
    <mergeCell ref="F8:G8"/>
    <mergeCell ref="B9:E9"/>
    <mergeCell ref="F9:G9"/>
    <mergeCell ref="B14:E14"/>
    <mergeCell ref="F14:G14"/>
  </mergeCells>
  <printOptions/>
  <pageMargins left="0.7" right="0.48" top="0.73" bottom="0.47" header="0.3" footer="0.3"/>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ageo</dc:creator>
  <cp:keywords/>
  <dc:description/>
  <cp:lastModifiedBy>Ageo</cp:lastModifiedBy>
  <cp:lastPrinted>2020-12-03T04:22:17Z</cp:lastPrinted>
  <dcterms:created xsi:type="dcterms:W3CDTF">2014-03-14T06:13:04Z</dcterms:created>
  <dcterms:modified xsi:type="dcterms:W3CDTF">2023-03-17T07:27:57Z</dcterms:modified>
  <cp:category/>
  <cp:version/>
  <cp:contentType/>
  <cp:contentStatus/>
</cp:coreProperties>
</file>